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30" tabRatio="844"/>
  </bookViews>
  <sheets>
    <sheet name="Planilha orç." sheetId="49" r:id="rId1"/>
    <sheet name="Memória de Cálculo" sheetId="53" r:id="rId2"/>
    <sheet name="Cronograma" sheetId="50" r:id="rId3"/>
    <sheet name="Composição" sheetId="52" r:id="rId4"/>
    <sheet name="BDI" sheetId="54" r:id="rId5"/>
    <sheet name="Planilha1" sheetId="55" state="hidden" r:id="rId6"/>
    <sheet name="Cotações" sheetId="57" r:id="rId7"/>
    <sheet name="Plan1" sheetId="56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'Planilha orç.'!$B$1:$B$63</definedName>
    <definedName name="ACOMPANHAMENTO" hidden="1">IF(VALUE([1]MENU!$O$4)=2,"BM","PLE")</definedName>
    <definedName name="_xlnm.Print_Area" localSheetId="3">Composição!$A$1:$G$88</definedName>
    <definedName name="_xlnm.Print_Area" localSheetId="2">Cronograma!$A$1:$J$36</definedName>
    <definedName name="_xlnm.Print_Area" localSheetId="1">'Memória de Cálculo'!$A$1:$K$145</definedName>
    <definedName name="_xlnm.Print_Area" localSheetId="0">'Planilha orç.'!$A$1:$J$54</definedName>
    <definedName name="CRONO.MaxParc" hidden="1">[2]CRONO!#REF!+[2]CRONO!A1</definedName>
    <definedName name="DESONERACAO" hidden="1">IF(OR(Import.Desoneracao="DESONERADO",Import.Desoneracao="SIM"),"SIM","NÃO")</definedName>
    <definedName name="Import.Desoneracao" hidden="1">OFFSET([3]DADOS!$G$18,0,-1)</definedName>
    <definedName name="ListaTgov.Unidades" hidden="1">[4]DADOS!$AQ$3:$AQ$220</definedName>
    <definedName name="NRELATORIOS">COUNTA([5]Relatórios!$A:$A)-2</definedName>
    <definedName name="ORÇAMENTO.BancoRef" hidden="1">'Planilha orç.'!#REF!</definedName>
    <definedName name="ORÇAMENTO.CustoUnitario" hidden="1">ROUND('Planilha orç.'!#REF!,15-13*'Planilha orç.'!#REF!)</definedName>
    <definedName name="ORÇAMENTO.PrecoUnitarioLicitado" hidden="1">'Planilha orç.'!$Y1</definedName>
    <definedName name="REFERENCIA.Descricao" hidden="1">IF(ISNUMBER('Planilha orç.'!$S1),OFFSET(INDIRECT(ORÇAMENTO.BancoRef),'Planilha orç.'!$S1-1,3,1),'Planilha orç.'!$S1)</definedName>
    <definedName name="REFERENCIA.Unidade" hidden="1">IF(ISNUMBER('Planilha orç.'!$S1),OFFSET(INDIRECT(ORÇAMENTO.BancoRef),'Planilha orç.'!$S1-1,4,1),"-")</definedName>
    <definedName name="RelatoriosFontes">OFFSET([5]Relatórios!$A$5,1,0,NRELATORIOS)</definedName>
    <definedName name="SomaAgrup" hidden="1">SUMIF(OFFSET('Planilha orç.'!$A1,1,0,'Planilha orç.'!$B1),"S",OFFSET('Planilha orç.'!A1,1,0,'Planilha orç.'!$B1))</definedName>
    <definedName name="TIPOORCAMENTO" hidden="1">IF(VALUE([2]MENU!$O$3)=2,"Licitado","Proposto")</definedName>
    <definedName name="VTOTAL1" hidden="1">ROUND('Planilha orç.'!#REF!*'Planilha orç.'!#REF!,15-13*'Planilha orç.'!#REF!)</definedName>
    <definedName name="_xlnm.Print_Titles" localSheetId="0">'Planilha orç.'!$1:$11</definedName>
    <definedName name="_xlnm.Print_Titles" localSheetId="1">'Memória de Cálculo'!$1:$10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<sst xmlns="http://schemas.openxmlformats.org/spreadsheetml/2006/main" count="783" uniqueCount="374">
  <si>
    <t xml:space="preserve">MUNICIPIO DE JOÃO MONLEVADE - MG </t>
  </si>
  <si>
    <t>PLANILHA ORÇAMENTÁRIA DE CUSTOS</t>
  </si>
  <si>
    <t>OBRA: REFORMA E REVITALIZAÇÃO DA PISTA DE CAMINHADA E CICLOVIA</t>
  </si>
  <si>
    <t>SOLICITANTE: MUNICÍPIO DE JOÃO MONLEVADE - MG</t>
  </si>
  <si>
    <t>LOCAL: AV. WILSON ALVARENGA - BELMONTE, JOÃO MONLEVADE - MG</t>
  </si>
  <si>
    <t>DATA: 17/04/2026</t>
  </si>
  <si>
    <t>REFERÊNCIA:  SICOR MG 01/2026 - SINAPI 02/2026 NÃO DESONERADA</t>
  </si>
  <si>
    <t xml:space="preserve">ISS:  </t>
  </si>
  <si>
    <t xml:space="preserve">FORMA DE EXECUÇÃO: </t>
  </si>
  <si>
    <t xml:space="preserve">                  (    )                </t>
  </si>
  <si>
    <t>DIRETA</t>
  </si>
  <si>
    <t>(X)               INDIRETA</t>
  </si>
  <si>
    <t>PRAZO DE EXECUÇÃO: 4 MESES</t>
  </si>
  <si>
    <t xml:space="preserve">     BDI=                                 </t>
  </si>
  <si>
    <t>Item</t>
  </si>
  <si>
    <t>Fonte</t>
  </si>
  <si>
    <t>Código</t>
  </si>
  <si>
    <t>Descrição</t>
  </si>
  <si>
    <t>Unidade</t>
  </si>
  <si>
    <t>Quant.</t>
  </si>
  <si>
    <t>Preço Unitário (com BDI) (R$)</t>
  </si>
  <si>
    <t>Preço Total
(R$)</t>
  </si>
  <si>
    <t>REFORMA E REVITALIZAÇÃO DA PISTA DE CAMINHADA E CICLOVIA</t>
  </si>
  <si>
    <t>ADMINISTRAÇÃO LOCAL</t>
  </si>
  <si>
    <t>1.1</t>
  </si>
  <si>
    <t>COMPOSIÇÃO</t>
  </si>
  <si>
    <t>CPU-002</t>
  </si>
  <si>
    <t>MÊS</t>
  </si>
  <si>
    <t>BDI 1</t>
  </si>
  <si>
    <t>SERVIÇOS PRELIMINARES</t>
  </si>
  <si>
    <t>2.1</t>
  </si>
  <si>
    <t>CPU-004</t>
  </si>
  <si>
    <t>MOBILIZAÇÃO E DESMOBILIZAÇÃO DE OBRA EM CENTRO URBANO OU REGIÃO LIMÍTROFE COM VALOR ACIMA DE 1.000.000,00</t>
  </si>
  <si>
    <t>UN</t>
  </si>
  <si>
    <t>2.2</t>
  </si>
  <si>
    <t>CPU-001</t>
  </si>
  <si>
    <t>PLACA DE OBRA EM CHAPA DE ACO GALVANIZADO  CONFORME MANUAL DE PLACAS</t>
  </si>
  <si>
    <t>M2</t>
  </si>
  <si>
    <t>2.3</t>
  </si>
  <si>
    <t>CPU-003</t>
  </si>
  <si>
    <t>LOCACAO, MOBILIZAÇÃO E DESMOBILIZAÇÃO DE CONTAINER 2,30 X 6,00 M, ALT. 2,50 M, COM 1 SANITARIO, PARA ESCRITORIO, COMPLETO, SEM DIVISORIAS INTERNAS (INCLUI MOBILIZACAO/ DESMOBILIZACAO), NÃO INCLUI LIGAÇÕES PROVISÓRIAS</t>
  </si>
  <si>
    <t>2.4</t>
  </si>
  <si>
    <t>SICOR</t>
  </si>
  <si>
    <t>ED-50155</t>
  </si>
  <si>
    <t>LOCAÇÃO DE BANHEIRO QUÍMICO, DIMENSÃO (110X120X230)CM, LINHA PADRÃO, CONTENDO UMA (1) PIA/HIGIENIZADOR DE MÃOS, INCLUSIVE MANUTENÇÃO E MOBILIZAÇÃO / DESMOBILIZAÇÃO</t>
  </si>
  <si>
    <t>PISTA DE CAMINHADA</t>
  </si>
  <si>
    <t>3.1</t>
  </si>
  <si>
    <t>SINAPI</t>
  </si>
  <si>
    <t>LIMPEZA DE RUA COM CAMINHÃO PIPA. AF_10/2025</t>
  </si>
  <si>
    <t>3.2</t>
  </si>
  <si>
    <t>SUDECAP</t>
  </si>
  <si>
    <t>20.12.01</t>
  </si>
  <si>
    <t>PINTURA DE LIGAÇÃO COM RR-1C - SUDECAP 01/25</t>
  </si>
  <si>
    <t>3.3</t>
  </si>
  <si>
    <t>TRANSPORTE COM CAMINHÃO TANQUE DE TRANSPORTE DE MATERIAL ASFÁLTICO DE 30000 L, EM VIA URBANA PAVIMENTADA, DMT ATÉ 30KM (UNIDADE: TXKM). AF_07/2020</t>
  </si>
  <si>
    <t>T X KM</t>
  </si>
  <si>
    <t>3.4</t>
  </si>
  <si>
    <t>TRANSPORTE COM CAMINHÃO TANQUE DE TRANSPORTE DE MATERIAL ASFÁLTICO DE 30000 L, EM VIA URBANA PAVIMENTADA, ADICIONAL PARA DMT EXCEDENTE A 30 KM (UNIDADE: TXKM). AF_07/2020</t>
  </si>
  <si>
    <t>3.5</t>
  </si>
  <si>
    <t>EXECUÇÃO DE PAVIMENTO COM APLICAÇÃO DE CONCRETO ASFÁLTICO, CAMADA DE ROLAMENTO - EXCLUSIVE CARGA E TRANSPORTE. AF_11/2019</t>
  </si>
  <si>
    <t>M3</t>
  </si>
  <si>
    <t>3.6</t>
  </si>
  <si>
    <t>TRANSPORTE COM CAMINHÃO BASCULANTE DE 10 M³, EM VIA URBANA PAVIMENTADA, DMT ATÉ 30 KM (UNIDADE: M3XKM). AF_07/2020</t>
  </si>
  <si>
    <t>M3 X KM</t>
  </si>
  <si>
    <t>3.7</t>
  </si>
  <si>
    <t>TRANSPORTE COM CAMINHÃO BASCULANTE DE 10 M³, EM VIA URBANA PAVIMENTADA, ADICIONAL PARA DMT EXCEDENTE A 30 KM (UNIDADE: M3XKM). AF_07/2020</t>
  </si>
  <si>
    <t>CICLOVIA</t>
  </si>
  <si>
    <t>4.1</t>
  </si>
  <si>
    <t>ED-50266</t>
  </si>
  <si>
    <t>LIMPEZA, VARRIÇÃO E PREPARO DA SUPERFÍCIE PARA PINTURA DA CICLOFAIXA.</t>
  </si>
  <si>
    <t>4.2</t>
  </si>
  <si>
    <t>EXECUÇÃO DE PINTURA DE SINALIZAÇÃO HORIZONTAL (NA COR VERMELHA), INCLUSIVE FORNECIMENTO DE TINTA ACRÍLICA PARA PAVIMENTAÇÃO, APLICAÇÃO E ACABAMENTO)</t>
  </si>
  <si>
    <t>4.3</t>
  </si>
  <si>
    <t>COTAÇÃO</t>
  </si>
  <si>
    <t>FORNECEDOR</t>
  </si>
  <si>
    <t>FORNECIMENTO E INSTALAÇÃO DE TACHÕES REFLETIVOS AMARELOS (46 X 14 X 12 CM), INCLUSIVE FIXAÇÃO COM ADESIVO E PREPARO DA SUPERFÍCIE.</t>
  </si>
  <si>
    <t xml:space="preserve">UN </t>
  </si>
  <si>
    <t>4.4</t>
  </si>
  <si>
    <t>PINTURA DE SÍMBOLOS E TEXTOS COM TINTA ACRÍLICA( símbolo de bicicleta na ciclofaixa e "acesso de veículos" nas entradas, inclusive marcação, gabarito e aplicação de tinta.)</t>
  </si>
  <si>
    <t>4.5</t>
  </si>
  <si>
    <t>PINTURA DE EIXO VIÁRIO SOBRE ASFALTO COM TINTA RETRORREFLETIVA A BASE DE RESINA ACRÍLICA COM MICROESFERAS DE VIDRO(na cor branca, aplicada previamente à instalação dos tachões, garantindo melhor visibilidade e aderência)</t>
  </si>
  <si>
    <t>M</t>
  </si>
  <si>
    <t>ASSENTAMENTO DE MEIO-FIO</t>
  </si>
  <si>
    <t>5.1</t>
  </si>
  <si>
    <t>DEMOLIÇÃO PARCIAL DE PAVIMENTO ASFÁLTICO, DE FORMA MECANIZADA, SEM REAPROVEITAMENTO. AF_09/2023</t>
  </si>
  <si>
    <t>5.2</t>
  </si>
  <si>
    <t>CPU-009</t>
  </si>
  <si>
    <t>CARGA E TRANSPORTE DO MATERIAL DEMOLIDO</t>
  </si>
  <si>
    <t>5.3</t>
  </si>
  <si>
    <t>GUIA (MEIO-FIO) CONCRETO, MOLDADA IN LOCO EM TRECHO RETO COM EXTRUSORA, 15 CM BASE X 30 CM ALTURA. AF_01/2024</t>
  </si>
  <si>
    <t>5.4</t>
  </si>
  <si>
    <t>PINTURA DE MEIO-FIO COM TINTA BRANCA A BASE DE CAL (CAIAÇÃO). AF_05/2021</t>
  </si>
  <si>
    <t>CANTEIROS</t>
  </si>
  <si>
    <t>6.1</t>
  </si>
  <si>
    <t>LIMPEZA MANUAL DE VEGETAÇÃO EM TERRENO COM ENXADA. AF_03/2024</t>
  </si>
  <si>
    <t>6.2</t>
  </si>
  <si>
    <t>CPU-008</t>
  </si>
  <si>
    <t>PLANTIO DE MUDAS PARA RECOMPOSIÇÃO DE CANTEIROS</t>
  </si>
  <si>
    <t>SERVIÇOS COMPLEMENTARES</t>
  </si>
  <si>
    <t>7.1</t>
  </si>
  <si>
    <t>CPU-005</t>
  </si>
  <si>
    <t>FORNECIMENTO E INSTALAÇÃO DE BEBEDOURO EM AÇO INOX PARA USO EXTERNO, COM BASE EM CONCRETO E LIGAÇÃO HIDRÁULICA E ELÉTRICA COMPLETAS.</t>
  </si>
  <si>
    <t>7.2</t>
  </si>
  <si>
    <t>CPU-006</t>
  </si>
  <si>
    <t>FORNECIMENTO E INSTALAÇÃO DE LIXEIRA METÁLICA PARA ÁREA EXTERNA, CAPACIDADE MÍNIMA 50L, FIXADA EM BASE DE CONCRETO FCK 20 MPA.</t>
  </si>
  <si>
    <t>7.3</t>
  </si>
  <si>
    <t xml:space="preserve">FORNECIMENTO E INSTALAÇÃO DE PLACA ORIENTATIVA SOBRE EXERCÍCIOS, 2,00M X 1,00M, EM TUBO DE AÇO CARBONO - PARA ACADEMIA AO AR LIVRE / ACADEMIA DA TERCEIRA IDADE - ATI, INSTALADO SOBRE PISO DE CONCRETO EXISTENTE.
</t>
  </si>
  <si>
    <t>7.4</t>
  </si>
  <si>
    <t>CPU-007</t>
  </si>
  <si>
    <t>FORNECIMENTO E INSTALAÇÃO DE ABRIGO METÁLICO PARA PONTO DE ÔNIBUS, INCLUSIVE ESTRUTURA E COBERTURA, EXECUÇÃO DE BASES EM CONCRETO FCK 20 MPA, ESCAVAÇÃO MANUAL, EXECUÇÃO DE PISO EM CONCRETO NO ENTORNO, REGULARIZAÇÃO, ACABAMENTO E LIMPEZA FINAL.</t>
  </si>
  <si>
    <t>Total =</t>
  </si>
  <si>
    <t>295.809/D</t>
  </si>
  <si>
    <t>Eng. Civil Lorena Realino Fraga</t>
  </si>
  <si>
    <t>CREA MG</t>
  </si>
  <si>
    <t>Município de João Monlevade</t>
  </si>
  <si>
    <t>MEMÓRIA DE CÁLCULO</t>
  </si>
  <si>
    <t>ITEM</t>
  </si>
  <si>
    <t>CÓDIGO</t>
  </si>
  <si>
    <t>DESCRIÇÃO</t>
  </si>
  <si>
    <t>UNIDADE</t>
  </si>
  <si>
    <t>%</t>
  </si>
  <si>
    <t>Comp. (m)</t>
  </si>
  <si>
    <t>Alt. (m)</t>
  </si>
  <si>
    <t>Total</t>
  </si>
  <si>
    <t>x</t>
  </si>
  <si>
    <t>=</t>
  </si>
  <si>
    <t>larg. (m)</t>
  </si>
  <si>
    <t>358,72m² de rampas</t>
  </si>
  <si>
    <t>5070,36 + 358,72</t>
  </si>
  <si>
    <t>Area . (m²)</t>
  </si>
  <si>
    <t>consumo (t/m²)</t>
  </si>
  <si>
    <t>t/m²</t>
  </si>
  <si>
    <t>km</t>
  </si>
  <si>
    <t xml:space="preserve"> x </t>
  </si>
  <si>
    <t>M³</t>
  </si>
  <si>
    <t>cbuq (4cm)</t>
  </si>
  <si>
    <t>M³ X KM</t>
  </si>
  <si>
    <t>CBUQ (M³)</t>
  </si>
  <si>
    <t>DMT (30KM)</t>
  </si>
  <si>
    <t>distancia entre tachão (m)</t>
  </si>
  <si>
    <t>/</t>
  </si>
  <si>
    <t>m2</t>
  </si>
  <si>
    <t>distancia entre simbolos (m)</t>
  </si>
  <si>
    <t>simbolo de  bicicleta  = m²</t>
  </si>
  <si>
    <t>1,40×0,70=0,98m2</t>
  </si>
  <si>
    <t>33,12 = 34</t>
  </si>
  <si>
    <t>simbolo de  "acesso de veiculos"  = m²</t>
  </si>
  <si>
    <t>10×2,20=22,00m2</t>
  </si>
  <si>
    <t>ED-51143</t>
  </si>
  <si>
    <t>Area de piso a serem executados (m)</t>
  </si>
  <si>
    <t>Largura (m)</t>
  </si>
  <si>
    <t>X</t>
  </si>
  <si>
    <t>Material demolido</t>
  </si>
  <si>
    <t>Para 1 m3 demolido  - 0,25 horas de caminhao e 0,5 servente</t>
  </si>
  <si>
    <t>meio - fio (m)</t>
  </si>
  <si>
    <t>Area dos canteiros ( m²)</t>
  </si>
  <si>
    <t xml:space="preserve"> A cada 1m² de área  = 25 mudas</t>
  </si>
  <si>
    <t>largura. (m)</t>
  </si>
  <si>
    <t>Base para o bebedouro   = escavação e concreto = 0,4 x 0,4 x 0,4 = 0,064</t>
  </si>
  <si>
    <t>Lastro de brita 3 cm = 0,4 x 0,4 x 0,03 = 0,0048 = 0,005</t>
  </si>
  <si>
    <t>4 chumbadores</t>
  </si>
  <si>
    <t>Lixeira metálica para área externa, capacidade mínima 50L -  1unidade por ponto</t>
  </si>
  <si>
    <t>Concreto fck 20 MPa para base</t>
  </si>
  <si>
    <t>0,4*0,4*0,2 = 0,032 m³</t>
  </si>
  <si>
    <t>Brita para lastro/fundo da base</t>
  </si>
  <si>
    <t>0,4*0,4*0,03 = 0,0048 m³</t>
  </si>
  <si>
    <t>Chumbador/parafuso de fixação galvanizado com porca e arruela</t>
  </si>
  <si>
    <t>4 por lixeira</t>
  </si>
  <si>
    <t>Pedreiro = 1h</t>
  </si>
  <si>
    <t>Servente = 2h</t>
  </si>
  <si>
    <t>Escavação manual para base</t>
  </si>
  <si>
    <t>Reaterro manual apiloado</t>
  </si>
  <si>
    <t>volume estimado = 0,010m³</t>
  </si>
  <si>
    <t>A cada 200,00 metros uma placa informativa de "alonga-se e metragem de caminhada"</t>
  </si>
  <si>
    <t>Inicio  - 200 - 400 - 600 - 800 - 1000 - 1200 - 1400 - 1600 - FIM</t>
  </si>
  <si>
    <t>Abrigo metálico = 1,00 un</t>
  </si>
  <si>
    <t>Serralheiro = 4,00 h</t>
  </si>
  <si>
    <t>BASE  e ESCAVAÇÃO</t>
  </si>
  <si>
    <t>0,40×0,40×0,40=0,064m</t>
  </si>
  <si>
    <t>0,064×2=0,128m</t>
  </si>
  <si>
    <t xml:space="preserve">Passeio para pontos de onibus padrão= </t>
  </si>
  <si>
    <t>(4,0 x 1,5 ) m² x 0,05 = 0,30 m²</t>
  </si>
  <si>
    <t>CRONOGRAMA FÍSICO-FINANCEIRO</t>
  </si>
  <si>
    <t>FOLHA Nº: 01/01</t>
  </si>
  <si>
    <t>Valor (R$)</t>
  </si>
  <si>
    <t>Parcelas:</t>
  </si>
  <si>
    <t/>
  </si>
  <si>
    <t>% Período:</t>
  </si>
  <si>
    <t>R$ Período:</t>
  </si>
  <si>
    <t>Total:</t>
  </si>
  <si>
    <t>%:</t>
  </si>
  <si>
    <t>Investimento:</t>
  </si>
  <si>
    <t>CREA MG 295.809/D</t>
  </si>
  <si>
    <t>PLANILHA COMPOSIÇÕES DE CUSTO</t>
  </si>
  <si>
    <t>SINAPI-I</t>
  </si>
  <si>
    <t>4417</t>
  </si>
  <si>
    <t xml:space="preserve">SARRAFO NAO APARELHADO *2,5 X 7* CM, EM MACARANDUBA, ANGELIM OU EQUIVALENTE DA REGIAO -  BRUTA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</si>
  <si>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     </t>
  </si>
  <si>
    <t>4491</t>
  </si>
  <si>
    <t xml:space="preserve">PONTALETE *7,5 X 7,5* CM EM PINUS, MISTA OU EQUIVALENTE DA REGIAO - BRUTA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</si>
  <si>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4813</t>
  </si>
  <si>
    <t xml:space="preserve">PLACA DE OBRA (PARA CONSTRUCAO CIVIL) EM CHAPA GALVANIZADA *N. 22*, ADESIVADA, DE *2,4 X 1,2* M (SEM POSTES PARA FIXACAO)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</si>
  <si>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M2    </t>
  </si>
  <si>
    <t>5075</t>
  </si>
  <si>
    <t xml:space="preserve">PREGO DE ACO POLIDO COM CABECA 18 X 30 (2 3/4 X 10)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</si>
  <si>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KG    </t>
  </si>
  <si>
    <t>88262</t>
  </si>
  <si>
    <t>CARPINTEIRO DE FORMAS COM ENCARGOS COMPLEMENTARES</t>
  </si>
  <si>
    <t>H</t>
  </si>
  <si>
    <t>88316</t>
  </si>
  <si>
    <t>SERVENTE COM ENCARGOS COMPLEMENTARES</t>
  </si>
  <si>
    <t>94962</t>
  </si>
  <si>
    <t>CONCRETO MAGRO PARA LASTRO, TRAÇO 1:4,5:4,5 (EM MASSA SECA DE CIMENTO/ AREIA MÉDIA/ BRITA 1) - PREPARO MECÂNICO COM BETONEIRA 400 L. AF_05/2021</t>
  </si>
  <si>
    <t>93565</t>
  </si>
  <si>
    <t>ENGENHEIRO CIVIL DE OBRA JUNIOR COM ENCARGOS COMPLEMENTARES</t>
  </si>
  <si>
    <t>MES</t>
  </si>
  <si>
    <t>93572</t>
  </si>
  <si>
    <t>ENCARREGADO GERAL DE OBRAS COM ENCARGOS COMPLEMENTARES</t>
  </si>
  <si>
    <t>SICOR MG</t>
  </si>
  <si>
    <t>ED-16350</t>
  </si>
  <si>
    <t xml:space="preserve">LOCAÇÃO DE CONTAINER COM ISOLAMENTO TÉRMICO, TIPO 3,
PARA DEPÓSITO/FERRAMENTARIA DE OBRA, COM MEDIDAS
REFERENCIAIS DE (6) METROS COMPRIMENTO, (2,3) METROS
LARGURA E (2,5) METROS ALTURA ÚTIL INTERNA, INCLUSIVE
LIGAÇÕES ELÉTRICAS INTERNAS, EXCLUSIVE MOBILIZAÇÃO/
DESMOBILIZAÇÃO E LIGAÇÕES PROVISÓRIAS EXTERNAS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</si>
  <si>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MES   </t>
  </si>
  <si>
    <t>ED-50137</t>
  </si>
  <si>
    <t>MOBILIZAÇÃO E DESMOBILIZAÇÃO DE CONTAINER, INCLUSIVE CARGA, DESCARGA E TRANSPORTE EM CAMINHÃO CARROCERIA COM GUINDAUTO (MUNCK), EXCLUSIVE LOCAÇÃO DO CONTAINER</t>
  </si>
  <si>
    <t xml:space="preserve">UN    </t>
  </si>
  <si>
    <t>MOBILIZAÇÃO E DESMOBILIZAÇÃO DE OBRA EM CENTRO URBANO OU REGIÃO LIMÍTROFE COM VALOR ATÉ O VALOR DE 1.000.000,00</t>
  </si>
  <si>
    <t>un</t>
  </si>
  <si>
    <t>cotação</t>
  </si>
  <si>
    <t>banco de preço</t>
  </si>
  <si>
    <t>TOTENS/ESTAÇÕES DE HIDRATAÇÃO MULTIFUNCIONAIS PARA ESPAÇOS PÚBLICOS Bebedouro com fornecimento de água gelada, quente e em temperatura ambiente e água para pet.</t>
  </si>
  <si>
    <t>ED-51107</t>
  </si>
  <si>
    <t>Escavação manual de vala até 1,5 m</t>
  </si>
  <si>
    <t>m³</t>
  </si>
  <si>
    <t>ED-49797</t>
  </si>
  <si>
    <t>Concreto fck 20 Mpa ( base em concreto)</t>
  </si>
  <si>
    <t>ED-49813</t>
  </si>
  <si>
    <t>Lastro de brita</t>
  </si>
  <si>
    <t>MATED-11245</t>
  </si>
  <si>
    <t>CHUMBADOR EXPANSÍVEL (TIPO: CBA SEXTAVADO|MATERIAL: AÇO CARBONO|COMPRIMENTO:2.1/2"|DIÂMETRO DA ROSCA: 3/8"|DIÂMETRO DO FURO: 9/16"[14MM])</t>
  </si>
  <si>
    <t>ED-51120</t>
  </si>
  <si>
    <t>Reaterro manual de vala</t>
  </si>
  <si>
    <t>ED-50381</t>
  </si>
  <si>
    <t>Pedreiro</t>
  </si>
  <si>
    <t>h</t>
  </si>
  <si>
    <t>ED-50367</t>
  </si>
  <si>
    <t>Servente</t>
  </si>
  <si>
    <t xml:space="preserve"> ED-15748</t>
  </si>
  <si>
    <t>CONJUNTO DE UMA (1) TOMADA PADRÃO, TRÊS (3) POLOS,  CORRENTE 10A, TENSÃO 250V, (2P+T/10A-250V), COM PLACA 4"X2"  DE UM (1) POSTO, INCLUSIVE FORNECIMENTO, INSTALAÇÃO,
 SUPORTE, MÓDULO E PLACA</t>
  </si>
  <si>
    <t>UNID.</t>
  </si>
  <si>
    <t>ED-48951</t>
  </si>
  <si>
    <t>CABO ISOLADO DE COBRE FLEXÍVEL, CLASSE 5, ISOLAMENTO TIPO LSHF/ATOX, NÃO HALOGENADO E ANTICHAMA, DIÂMETRO DA SEÇÃO DE 2,5MM2, TEMPERATURA DE TRABALHO 70°C, TENSÃO NOMINAL DE OPERAÇÃO 450/750V</t>
  </si>
  <si>
    <t>ED-49414</t>
  </si>
  <si>
    <t>ELETRODUTO FLEXÍVEL CORRUGADO, PVC, ANTI-CHAMA, DN  25MM (3/4"), APLICADO EM ALVENARIA, INCLUSIVE RASGO</t>
  </si>
  <si>
    <t>ED-49171</t>
  </si>
  <si>
    <t>CAIXA DE PASSAGEM EM ALVENARIA E TAMPA DE CONCRETO, FUNDO DE BRITA, TIPO 1, DIMENSÃO (25X25X50)CM, INCLUSIVE ESCAVAÇÃO, REATERRO E BOTA-FORA</t>
  </si>
  <si>
    <t>ED-49317</t>
  </si>
  <si>
    <t>ELETRODUTO DE AÇO GALVANIZADO LEVE, DIÂMETRO DE 20MM (3/4"), INSTALAÇÃO APARENTE OU SOBRE FORRO COM ABRAÇADEIRA METÁLICA DE CUNHA, TIPO "D", INCLUSIVE ACESSÓRIOS PARA FIXAÇÃO E CONEXÕES</t>
  </si>
  <si>
    <t>ED-49097</t>
  </si>
  <si>
    <t>CONDULETE DE ALUMÍNIO, TIPO "X", DIÂMETRO DE SAÍDA 3/4" (20MM), EXCLUSIVE MÓDULO E PLACA, INCLUSIVE FIXAÇÃO</t>
  </si>
  <si>
    <t>ED-17990</t>
  </si>
  <si>
    <t>PLACA CEGA PARA CONDULETE, COM DIÂMETRO DE SAÍDA 3/4" (20MM), EXCLUSIVE CONDULETE</t>
  </si>
  <si>
    <t>ED-50019</t>
  </si>
  <si>
    <t>FORNECIMENTO E ASSENTAMENTO DE TUBO PVC RÍGIDO
SOLDÁVEL, ÁGUA FRIA, DN 25 MM (3/4") , INCLUSIVE CONEXÕES</t>
  </si>
  <si>
    <t>m</t>
  </si>
  <si>
    <t>ADAPTADOR CURTO COM BOLSA E ROSCA PARA REGISTRO, PVC</t>
  </si>
  <si>
    <t>MATED-11548</t>
  </si>
  <si>
    <t>Registro esfera PVC DN 25 mm</t>
  </si>
  <si>
    <t>MATED-12565</t>
  </si>
  <si>
    <t>Engate flexível metálico</t>
  </si>
  <si>
    <t>ED-50021</t>
  </si>
  <si>
    <t>FORNECIMENTO E ASSENTAMENTO DE TUBO PVC
RÍGIDO SOLDÁVEL, ÁGUA FRIA, DN 40 MM (</t>
  </si>
  <si>
    <t>ED-50007</t>
  </si>
  <si>
    <t>CAIXA SIFONADA EM PVC COM GRELHA QUADRADA150 X 150 X 50 MM</t>
  </si>
  <si>
    <t>KIT DE 4 LIXEIRA REDONDA EM MADEIRA PLÁSTICA DE 67 LITROS 4 TAMPA COM ABERTURA FRONTAL DISPONÍVEL NAS CORES: AZUL, AMARELO, VERMELHO, VERDE, MARROM E PRETO - CAPACIDADE:
67 LITROS - MEDIDAS: 50 CM (ALTURA) X 50 CM (DIÂMETRO)</t>
  </si>
  <si>
    <t>MATED-11248</t>
  </si>
  <si>
    <t>AREIA LAVADA POSTO OBRA (TIPO: MÉDIA)</t>
  </si>
  <si>
    <t>ABRIGO PARA PONTO DE ÔNIBUS EM ESTRUTURA METÁLICA COM COBERTURA</t>
  </si>
  <si>
    <t>ED-7830</t>
  </si>
  <si>
    <t>SERRALHEIRO</t>
  </si>
  <si>
    <t>EXECUÇÃO DE PASSEIO (CALÇADA) OU PISO DE CONCRETO COM CONCRETO MOLDADO IN LOCO</t>
  </si>
  <si>
    <t>MATED-12785</t>
  </si>
  <si>
    <t>PLACA (MATERIAL: ALUMÍNIO ANODIZADO|DIMENSÃO: (70X60)CM</t>
  </si>
  <si>
    <t>M²</t>
  </si>
  <si>
    <t>REVOLVIMENTO E LIMPEZA MANUAL DE SOLO</t>
  </si>
  <si>
    <t>internet</t>
  </si>
  <si>
    <t>MUDA DE IXORA MINI CORES</t>
  </si>
  <si>
    <t>SERVENTE</t>
  </si>
  <si>
    <t xml:space="preserve">H </t>
  </si>
  <si>
    <t>ED-50378</t>
  </si>
  <si>
    <t>JARDINEIRO</t>
  </si>
  <si>
    <t>98520</t>
  </si>
  <si>
    <t>APLICAÇÃO DE ADUBO EM SOLO</t>
  </si>
  <si>
    <t>fornecedor</t>
  </si>
  <si>
    <t>TACHAO DE RESINA COM DOIS PINOS DE FIXACAO</t>
  </si>
  <si>
    <t>ADESIVO (COLA) DE RESINA COM CATALISADOR (Cola Epóxi Fixadora para Sinalização Viária)</t>
  </si>
  <si>
    <t>PEDREIRO COM ENCARGOS COMPLEMENTARES</t>
  </si>
  <si>
    <t>MARTELO DEMOLIDOR ELÉTRICO, COM POTÊNCIA DE 2.000 W, 1.000 IMPACTOS POR MINUTO, PESO DE 30 KG - CHI DIURNO.
AF_01/2021</t>
  </si>
  <si>
    <t>CHI</t>
  </si>
  <si>
    <t>MARTELO DEMOLIDOR ELÉTRICO, COM POTÊNCIA DE 2.000 W, 1.000 IMPACTOS POR MINUTO, PESO DE 30 KG - CHP DIURNO.
AF_01/2021</t>
  </si>
  <si>
    <t>CHP</t>
  </si>
  <si>
    <t xml:space="preserve"> CAMINHÃO BASCULANTE 10 M3, TRUCADO CABINE SIMPLES, PESO BRUTO TOTAL 23.000 KG</t>
  </si>
  <si>
    <t>295809/D</t>
  </si>
  <si>
    <t>DEMONSTRATIVO DE BDI - SEM DESONERAÇÃO - OBRA DE REVITALIZAÇÃO DE VIA</t>
  </si>
  <si>
    <t>BDI SERVIÇOS(CONFORME ACÓRDÃO Nº 2622/13 e LEI Nº 13.161 DE 31/08/15)</t>
  </si>
  <si>
    <t>DISCRIMINAÇÃO DAS PARCELAS</t>
  </si>
  <si>
    <t>SIGLA</t>
  </si>
  <si>
    <t>PERCENTUAL DE INCIDÊNCIA</t>
  </si>
  <si>
    <t>INCIDÊNCIA</t>
  </si>
  <si>
    <t>CUSTO DIRETO</t>
  </si>
  <si>
    <t>CD</t>
  </si>
  <si>
    <t>ADMINISTRAÇÃO CENTRAL</t>
  </si>
  <si>
    <t>AC</t>
  </si>
  <si>
    <t>LUCRO</t>
  </si>
  <si>
    <t>L</t>
  </si>
  <si>
    <t>DESPESAS FINANCEIRAS</t>
  </si>
  <si>
    <t>DF</t>
  </si>
  <si>
    <t>SEGUROS, GARANTIAS E RISCO</t>
  </si>
  <si>
    <t>(S + R)</t>
  </si>
  <si>
    <t>SEGUROS + GARANTIAS</t>
  </si>
  <si>
    <t>S</t>
  </si>
  <si>
    <t>RISCO</t>
  </si>
  <si>
    <t>R</t>
  </si>
  <si>
    <t>TRIBUTOS</t>
  </si>
  <si>
    <t>I</t>
  </si>
  <si>
    <t>PV</t>
  </si>
  <si>
    <t>ISS</t>
  </si>
  <si>
    <t>PIS</t>
  </si>
  <si>
    <t>COFINS</t>
  </si>
  <si>
    <t>CPRB</t>
  </si>
  <si>
    <t>INSS</t>
  </si>
  <si>
    <t>FÓRMULA DO BDI</t>
  </si>
  <si>
    <t>(1 + (AC + S + G + R)) x (1 + DF) x  (1 + L)</t>
  </si>
  <si>
    <t>(1 - (I + CPRB))</t>
  </si>
  <si>
    <t>CÁLCULO DO BDI</t>
  </si>
  <si>
    <t>BDI      =</t>
  </si>
  <si>
    <r>
      <rPr>
        <b/>
        <sz val="8"/>
        <rFont val="Arial Narrow"/>
        <charset val="134"/>
      </rPr>
      <t>AC | Administração Central</t>
    </r>
    <r>
      <rPr>
        <sz val="8"/>
        <rFont val="Arial Narrow"/>
        <charset val="134"/>
      </rPr>
      <t xml:space="preserve"> - Percentual incluído no contrato para suprir gastos gerais que a empresa efetua com a sua administração, tais como: aluguel da sede, salários dos funcionários da sede, material de expediente, entre outros.</t>
    </r>
  </si>
  <si>
    <r>
      <rPr>
        <b/>
        <sz val="8"/>
        <rFont val="Arial Narrow"/>
        <charset val="134"/>
      </rPr>
      <t>DF | Despesas Financeiras</t>
    </r>
    <r>
      <rPr>
        <sz val="8"/>
        <rFont val="Arial Narrow"/>
        <charset val="134"/>
      </rPr>
      <t xml:space="preserve"> - Despesas financeiras são gastos relacionados à perda monetária decorrente da defasagem entre a data do efetivo desembolso e a data da receita correspondente.</t>
    </r>
  </si>
  <si>
    <r>
      <rPr>
        <b/>
        <sz val="8"/>
        <rFont val="Arial Narrow"/>
        <charset val="134"/>
      </rPr>
      <t>R | Garantias, Riscos, Seguros e Imprevistos</t>
    </r>
    <r>
      <rPr>
        <sz val="8"/>
        <rFont val="Arial Narrow"/>
        <charset val="134"/>
      </rPr>
      <t xml:space="preserve"> - Percentual incluído no contrato para suprir gastos com imprevistos, riscos etc.</t>
    </r>
  </si>
  <si>
    <r>
      <rPr>
        <b/>
        <sz val="8"/>
        <rFont val="Arial Narrow"/>
        <charset val="134"/>
      </rPr>
      <t>L | Lucro</t>
    </r>
    <r>
      <rPr>
        <sz val="8"/>
        <rFont val="Arial Narrow"/>
        <charset val="134"/>
      </rPr>
      <t xml:space="preserve"> - Percentual incluído no contrato referente ao lucro pretendido.</t>
    </r>
  </si>
  <si>
    <r>
      <rPr>
        <b/>
        <sz val="8"/>
        <rFont val="Arial Narrow"/>
        <charset val="134"/>
      </rPr>
      <t>T | Tributos</t>
    </r>
    <r>
      <rPr>
        <sz val="8"/>
        <rFont val="Arial Narrow"/>
        <charset val="134"/>
      </rPr>
      <t xml:space="preserve"> - Somatório do COFINS, PIS, ISS e INSS</t>
    </r>
  </si>
  <si>
    <t>INCIDÊNCIA DE ISS EM 100% DO PREÇO DE VENDA, COM PERCENTUAIS DE 2%, 3%, 4% E 5%</t>
  </si>
  <si>
    <t>https://jobaragro.com.br/produtos/mini-ixora-caixa-com-15-mudas/?variant=1244399873&amp;pf=mc&amp;utm_source=chatgpt.com</t>
  </si>
  <si>
    <t>https://www.mercadolivre.com.br/1-muda-de-ixoria-ixora-laranja--amarela-cerca-viva-arbusto/up/MLBU756348969?matt_tool=18956390&amp;pdp_filters=item_id%3AMLB3188523129&amp;from=gshop&amp;utm_source=chatgpt.com</t>
  </si>
  <si>
    <t>media</t>
  </si>
  <si>
    <t>https://www.mercadolivre.com.br/kit-6-mudas-de-ixoria--3-amarela-e-3-laranja/up/MLBU1148228894?utm_source=chatgpt.com</t>
  </si>
  <si>
    <t>QTD</t>
  </si>
  <si>
    <t>Tubo PVC soldável DN 25 mm</t>
  </si>
  <si>
    <t>Joelho 90° PVC DN 25 mm</t>
  </si>
  <si>
    <t>Tê PVC DN 25 mm</t>
  </si>
  <si>
    <t>Luva PVC DN 25 mm</t>
  </si>
  <si>
    <t>Adaptador soldável DN 25 mm x 3/4"</t>
  </si>
  <si>
    <t>Tubo PVC esgoto DN 40 mm</t>
  </si>
  <si>
    <t>Joelho 90° PVC esgoto DN 40 mm</t>
  </si>
  <si>
    <t>Tê/junção PVC DN 40 mm</t>
  </si>
  <si>
    <t>Caixa sifonada ou ralo</t>
  </si>
  <si>
    <t>COEF</t>
  </si>
  <si>
    <t>Adesivo plástico para PVC</t>
  </si>
  <si>
    <t>Revolvimento do solo (enxada/manual)</t>
  </si>
  <si>
    <t>m²</t>
  </si>
  <si>
    <t>Terra vegetal</t>
  </si>
  <si>
    <t>COEFICIENTE</t>
  </si>
  <si>
    <t>Adubo orgânico</t>
  </si>
  <si>
    <t>kg</t>
  </si>
  <si>
    <t>Lixeira metálica para área externa, capacidade mínima 50L</t>
  </si>
  <si>
    <t>Jardineiro</t>
  </si>
  <si>
    <t>Areia para regularização/assentamento</t>
  </si>
  <si>
    <t>Mudas de tagetes (amarelas/laranjas)</t>
  </si>
  <si>
    <t>Plantio manual</t>
  </si>
  <si>
    <t>Escavação manual de vala</t>
  </si>
  <si>
    <t>Concreto fck 20 MPa</t>
  </si>
  <si>
    <t>Chumbadores/parafusos galvanizados</t>
  </si>
  <si>
    <t>Regularização e compactação do solo</t>
  </si>
  <si>
    <t>Concreto fck 20 MPa (piso)</t>
  </si>
  <si>
    <t>Desempeno/acabamento superficial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</si>
</sst>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9">
    <numFmt numFmtId="176" formatCode="_(* #,##0.00_);_(* \(#,##0.00\);_(* &quot;-&quot;??_);_(@_)"/>
    <numFmt numFmtId="177" formatCode="_(&quot;R$ &quot;* #,##0.00_);_(&quot;R$ &quot;* \(#,##0.00\);_(&quot;R$ &quot;* &quot;-&quot;??_);_(@_)"/>
    <numFmt numFmtId="178" formatCode="_-* #,##0_-;\-* #,##0_-;_-* &quot;-&quot;_-;_-@_-"/>
    <numFmt numFmtId="179" formatCode="_-&quot;R$&quot;\ * #,##0_-;\-&quot;R$&quot;\ * #,##0_-;_-&quot;R$&quot;\ * &quot;-&quot;_-;_-@_-"/>
    <numFmt numFmtId="180" formatCode="_-* #,##0.00_-;\-* #,##0.00_-;_-* &quot;-&quot;??_-;_-@_-"/>
    <numFmt numFmtId="181" formatCode="General;General;"/>
    <numFmt numFmtId="182" formatCode="0.000%"/>
    <numFmt numFmtId="183" formatCode="_-&quot;R$&quot;\ * #,##0.00_-;\-&quot;R$&quot;\ * #,##0.00_-;_-&quot;R$&quot;\ * &quot;-&quot;??_-;_-@_-"/>
    <numFmt numFmtId="184" formatCode="0.00_ "/>
    <numFmt numFmtId="185" formatCode="0.0%"/>
    <numFmt numFmtId="186" formatCode="_(* #,##0.000000_);_(* \(#,##0.000000\);_(* &quot;-&quot;??_);_(@_)"/>
    <numFmt numFmtId="187" formatCode="0.0000"/>
    <numFmt numFmtId="188" formatCode="_(\ #,##0.00_);_(&quot; (&quot;#,##0.00\);_(&quot; -&quot;??_);_(@_)"/>
    <numFmt numFmtId="189" formatCode="mm/yy"/>
    <numFmt numFmtId="190" formatCode="0\."/>
    <numFmt numFmtId="191" formatCode="_(* #,##0.0000_);_(* \(#,##0.0000\);_(* &quot;-&quot;??_);_(@_)"/>
    <numFmt numFmtId="192" formatCode="_(* #,##0.000_);_(* \(#,##0.000\);_(* &quot;-&quot;??_);_(@_)"/>
    <numFmt numFmtId="193" formatCode="0.000"/>
    <numFmt numFmtId="194" formatCode="&quot;R$&quot;\ #,##0.00_);[Red]\(&quot;R$&quot;\ #,##0.00\)"/>
  </numFmts>
  <fonts count="51">
    <font>
      <sz val="10"/>
      <name val="Arial"/>
      <charset val="134"/>
    </font>
    <font>
      <b/>
      <sz val="10"/>
      <name val="Arial"/>
      <charset val="134"/>
    </font>
    <font>
      <b/>
      <sz val="11"/>
      <color theme="1"/>
      <name val="Arial Narrow"/>
      <charset val="134"/>
    </font>
    <font>
      <b/>
      <sz val="11"/>
      <name val="Arial Narrow"/>
      <charset val="134"/>
    </font>
    <font>
      <b/>
      <sz val="9"/>
      <name val="Arial Narrow"/>
      <charset val="134"/>
    </font>
    <font>
      <sz val="9"/>
      <name val="Arial Narrow"/>
      <charset val="134"/>
    </font>
    <font>
      <b/>
      <sz val="8"/>
      <name val="Arial Narrow"/>
      <charset val="134"/>
    </font>
    <font>
      <sz val="8"/>
      <name val="Arial Narrow"/>
      <charset val="134"/>
    </font>
    <font>
      <u/>
      <sz val="8"/>
      <name val="Arial Narrow"/>
      <charset val="134"/>
    </font>
    <font>
      <u/>
      <sz val="8"/>
      <color indexed="8"/>
      <name val="Arial Narrow"/>
      <charset val="134"/>
    </font>
    <font>
      <sz val="8"/>
      <color indexed="8"/>
      <name val="Arial Narrow"/>
      <charset val="134"/>
    </font>
    <font>
      <b/>
      <sz val="8"/>
      <color indexed="8"/>
      <name val="Arial Narrow"/>
      <charset val="134"/>
    </font>
    <font>
      <sz val="10"/>
      <name val="Arial Narrow"/>
      <charset val="134"/>
    </font>
    <font>
      <sz val="9"/>
      <color indexed="8"/>
      <name val="Arial Narrow"/>
      <charset val="134"/>
    </font>
    <font>
      <sz val="8"/>
      <color theme="1"/>
      <name val="Arial Narrow"/>
      <charset val="134"/>
    </font>
    <font>
      <b/>
      <sz val="8"/>
      <color theme="1"/>
      <name val="Arial Narrow"/>
      <charset val="134"/>
    </font>
    <font>
      <b/>
      <sz val="9"/>
      <color theme="1"/>
      <name val="Arial Narrow"/>
      <charset val="134"/>
    </font>
    <font>
      <sz val="9"/>
      <color theme="1"/>
      <name val="Arial Narrow"/>
      <charset val="134"/>
    </font>
    <font>
      <sz val="8"/>
      <color rgb="FFFF0000"/>
      <name val="Arial Narrow"/>
      <charset val="134"/>
    </font>
    <font>
      <sz val="11"/>
      <name val="Arial Narrow"/>
      <charset val="134"/>
    </font>
    <font>
      <b/>
      <sz val="14"/>
      <color theme="1"/>
      <name val="Arial Narrow"/>
      <charset val="134"/>
    </font>
    <font>
      <sz val="16"/>
      <color theme="1"/>
      <name val="Arial Narrow"/>
      <charset val="134"/>
    </font>
    <font>
      <b/>
      <sz val="12"/>
      <color theme="1"/>
      <name val="Arial Narrow"/>
      <charset val="134"/>
    </font>
    <font>
      <b/>
      <sz val="10"/>
      <name val="Arial Narrow"/>
      <charset val="134"/>
    </font>
    <font>
      <b/>
      <sz val="10"/>
      <color theme="1"/>
      <name val="Arial Narrow"/>
      <charset val="134"/>
    </font>
    <font>
      <b/>
      <sz val="10"/>
      <color indexed="8"/>
      <name val="Arial Narrow"/>
      <charset val="134"/>
    </font>
    <font>
      <sz val="10"/>
      <color indexed="8"/>
      <name val="Arial Narrow"/>
      <charset val="134"/>
    </font>
    <font>
      <sz val="10"/>
      <color indexed="10"/>
      <name val="Arial Narrow"/>
      <charset val="134"/>
    </font>
    <font>
      <b/>
      <sz val="12"/>
      <name val="Arial Narrow"/>
      <charset val="134"/>
    </font>
    <font>
      <b/>
      <sz val="7"/>
      <name val="Arial Narrow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22"/>
      </patternFill>
    </fill>
    <fill>
      <patternFill patternType="solid">
        <fgColor theme="8" tint="0.8"/>
        <bgColor indexed="4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 tint="-0.149998474074526"/>
      </left>
      <right/>
      <top/>
      <bottom/>
      <diagonal/>
    </border>
    <border>
      <left/>
      <right/>
      <top style="thin">
        <color theme="0" tint="-0.149998474074526"/>
      </top>
      <bottom/>
      <diagonal/>
    </border>
    <border>
      <left/>
      <right/>
      <top style="thin">
        <color theme="0" tint="-0.149998474074526"/>
      </top>
      <bottom style="thin">
        <color theme="0" tint="-0.149998474074526"/>
      </bottom>
      <diagonal/>
    </border>
    <border>
      <left/>
      <right/>
      <top/>
      <bottom style="thin">
        <color theme="0" tint="-0.149998474074526"/>
      </bottom>
      <diagonal/>
    </border>
    <border>
      <left style="thin">
        <color theme="0" tint="-0.149998474074526"/>
      </left>
      <right/>
      <top/>
      <bottom style="thin">
        <color theme="0" tint="-0.149998474074526"/>
      </bottom>
      <diagonal/>
    </border>
    <border>
      <left style="thin">
        <color theme="0" tint="-0.0499893185216834"/>
      </left>
      <right/>
      <top style="thin">
        <color theme="0" tint="-0.149998474074526"/>
      </top>
      <bottom style="thin">
        <color theme="0" tint="-0.149998474074526"/>
      </bottom>
      <diagonal/>
    </border>
    <border>
      <left/>
      <right style="thin">
        <color theme="0" tint="-0.0499893185216834"/>
      </right>
      <top style="thin">
        <color theme="0" tint="-0.149998474074526"/>
      </top>
      <bottom style="thin">
        <color theme="0" tint="-0.149998474074526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theme="2" tint="-0.1"/>
      </left>
      <right style="thin">
        <color theme="2" tint="-0.1"/>
      </right>
      <top style="thin">
        <color theme="2" tint="-0.1"/>
      </top>
      <bottom style="hair">
        <color auto="1"/>
      </bottom>
      <diagonal/>
    </border>
    <border>
      <left style="thin">
        <color theme="2" tint="-0.1"/>
      </left>
      <right style="thin">
        <color theme="2" tint="-0.1"/>
      </right>
      <top style="hair">
        <color auto="1"/>
      </top>
      <bottom/>
      <diagonal/>
    </border>
    <border>
      <left style="thin">
        <color theme="2" tint="-0.1"/>
      </left>
      <right style="thin">
        <color theme="2" tint="-0.1"/>
      </right>
      <top/>
      <bottom/>
      <diagonal/>
    </border>
    <border>
      <left style="thin">
        <color theme="2" tint="-0.1"/>
      </left>
      <right/>
      <top style="thin">
        <color theme="2" tint="-0.1"/>
      </top>
      <bottom style="hair">
        <color auto="1"/>
      </bottom>
      <diagonal/>
    </border>
    <border>
      <left style="thin">
        <color theme="2" tint="-0.1"/>
      </left>
      <right style="thin">
        <color theme="2" tint="-0.1"/>
      </right>
      <top style="thin">
        <color theme="2" tint="-0.1"/>
      </top>
      <bottom/>
      <diagonal/>
    </border>
    <border>
      <left/>
      <right style="thin">
        <color theme="2" tint="-0.1"/>
      </right>
      <top style="thin">
        <color theme="2" tint="-0.1"/>
      </top>
      <bottom/>
      <diagonal/>
    </border>
    <border>
      <left/>
      <right/>
      <top style="thin">
        <color theme="2" tint="-0.1"/>
      </top>
      <bottom/>
      <diagonal/>
    </border>
    <border>
      <left style="thin">
        <color theme="2" tint="-0.1"/>
      </left>
      <right/>
      <top style="hair">
        <color auto="1"/>
      </top>
      <bottom style="hair">
        <color auto="1"/>
      </bottom>
      <diagonal/>
    </border>
    <border>
      <left style="thin">
        <color theme="2" tint="-0.1"/>
      </left>
      <right/>
      <top style="hair">
        <color auto="1"/>
      </top>
      <bottom/>
      <diagonal/>
    </border>
    <border>
      <left style="thin">
        <color theme="2" tint="-0.1"/>
      </left>
      <right style="thin">
        <color theme="2" tint="-0.1"/>
      </right>
      <top style="thin">
        <color theme="2" tint="-0.1"/>
      </top>
      <bottom style="thin">
        <color theme="2" tint="-0.25"/>
      </bottom>
      <diagonal/>
    </border>
    <border>
      <left style="thin">
        <color theme="2" tint="-0.1"/>
      </left>
      <right/>
      <top style="thin">
        <color theme="2" tint="-0.1"/>
      </top>
      <bottom style="thin">
        <color theme="2" tint="-0.1"/>
      </bottom>
      <diagonal/>
    </border>
    <border>
      <left style="thin">
        <color theme="2" tint="-0.1"/>
      </left>
      <right style="thin">
        <color theme="2" tint="-0.1"/>
      </right>
      <top/>
      <bottom style="thin">
        <color theme="2" tint="-0.1"/>
      </bottom>
      <diagonal/>
    </border>
    <border diagonalDown="1">
      <left/>
      <right/>
      <top style="thin">
        <color theme="2" tint="-0.1"/>
      </top>
      <bottom style="thin">
        <color theme="2" tint="-0.1"/>
      </bottom>
      <diagonal style="thin">
        <color theme="2" tint="-0.1"/>
      </diagonal>
    </border>
    <border diagonalDown="1">
      <left style="thin">
        <color theme="2" tint="-0.25"/>
      </left>
      <right/>
      <top/>
      <bottom style="thin">
        <color theme="2" tint="-0.1"/>
      </bottom>
      <diagonal style="thin">
        <color theme="2" tint="-0.1"/>
      </diagonal>
    </border>
    <border diagonalDown="1">
      <left style="thin">
        <color theme="2" tint="-0.25"/>
      </left>
      <right style="thin">
        <color theme="2" tint="-0.1"/>
      </right>
      <top style="thin">
        <color theme="2" tint="-0.1"/>
      </top>
      <bottom style="thin">
        <color theme="2" tint="-0.1"/>
      </bottom>
      <diagonal style="thin">
        <color theme="2" tint="-0.1"/>
      </diagonal>
    </border>
    <border>
      <left/>
      <right style="thin">
        <color theme="2" tint="-0.1"/>
      </right>
      <top style="thin">
        <color theme="2" tint="-0.1"/>
      </top>
      <bottom style="thin">
        <color theme="2" tint="-0.1"/>
      </bottom>
      <diagonal/>
    </border>
    <border>
      <left style="thin">
        <color theme="2" tint="-0.1"/>
      </left>
      <right/>
      <top/>
      <bottom style="hair">
        <color auto="1"/>
      </bottom>
      <diagonal/>
    </border>
    <border diagonalDown="1">
      <left/>
      <right style="thin">
        <color auto="1"/>
      </right>
      <top/>
      <bottom/>
      <diagonal style="thin">
        <color theme="2" tint="-0.1"/>
      </diagonal>
    </border>
    <border diagonalDown="1">
      <left style="thin">
        <color auto="1"/>
      </left>
      <right style="thin">
        <color auto="1"/>
      </right>
      <top/>
      <bottom/>
      <diagonal style="thin">
        <color theme="2" tint="-0.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2" tint="-0.1"/>
      </right>
      <top/>
      <bottom/>
      <diagonal/>
    </border>
    <border>
      <left style="thin">
        <color theme="2" tint="-0.25"/>
      </left>
      <right style="thin">
        <color theme="2" tint="-0.25"/>
      </right>
      <top style="thin">
        <color theme="2" tint="-0.25"/>
      </top>
      <bottom style="thin">
        <color theme="2" tint="-0.25"/>
      </bottom>
      <diagonal/>
    </border>
    <border diagonalDown="1">
      <left/>
      <right style="thin">
        <color theme="2" tint="-0.25"/>
      </right>
      <top style="thin">
        <color theme="2" tint="-0.25"/>
      </top>
      <bottom/>
      <diagonal style="thin">
        <color theme="2" tint="-0.1"/>
      </diagonal>
    </border>
    <border diagonalDown="1">
      <left style="thin">
        <color theme="2" tint="-0.25"/>
      </left>
      <right/>
      <top style="thin">
        <color theme="2" tint="-0.25"/>
      </top>
      <bottom/>
      <diagonal style="thin">
        <color theme="2" tint="-0.1"/>
      </diagonal>
    </border>
    <border diagonalDown="1">
      <left style="thin">
        <color theme="2" tint="-0.5"/>
      </left>
      <right/>
      <top style="thin">
        <color theme="2" tint="-0.5"/>
      </top>
      <bottom style="thin">
        <color theme="2" tint="-0.5"/>
      </bottom>
      <diagonal style="thin">
        <color theme="2" tint="-0.1"/>
      </diagonal>
    </border>
    <border>
      <left style="thin">
        <color theme="2" tint="-0.5"/>
      </left>
      <right style="thin">
        <color theme="2" tint="-0.5"/>
      </right>
      <top style="thin">
        <color theme="2" tint="-0.5"/>
      </top>
      <bottom style="thin">
        <color auto="1"/>
      </bottom>
      <diagonal/>
    </border>
    <border>
      <left/>
      <right style="thin">
        <color theme="2" tint="-0.5"/>
      </right>
      <top style="thin">
        <color theme="2" tint="-0.5"/>
      </top>
      <bottom style="thin">
        <color auto="1"/>
      </bottom>
      <diagonal/>
    </border>
    <border>
      <left/>
      <right style="thin">
        <color theme="2" tint="-0.25"/>
      </right>
      <top style="thin">
        <color theme="2" tint="-0.25"/>
      </top>
      <bottom style="hair">
        <color auto="1"/>
      </bottom>
      <diagonal/>
    </border>
    <border>
      <left style="thin">
        <color theme="2" tint="-0.25"/>
      </left>
      <right style="thin">
        <color theme="2" tint="-0.25"/>
      </right>
      <top style="thin">
        <color theme="2" tint="-0.25"/>
      </top>
      <bottom/>
      <diagonal/>
    </border>
    <border diagonalDown="1">
      <left/>
      <right style="thin">
        <color theme="2" tint="-0.25"/>
      </right>
      <top style="thin">
        <color theme="2" tint="-0.25"/>
      </top>
      <bottom style="thin">
        <color theme="2" tint="-0.25"/>
      </bottom>
      <diagonal style="thin">
        <color theme="2" tint="-0.1"/>
      </diagonal>
    </border>
    <border diagonalDown="1">
      <left style="thin">
        <color theme="2" tint="-0.25"/>
      </left>
      <right/>
      <top style="thin">
        <color theme="2" tint="-0.25"/>
      </top>
      <bottom style="thin">
        <color theme="2" tint="-0.25"/>
      </bottom>
      <diagonal style="thin">
        <color theme="2" tint="-0.1"/>
      </diagonal>
    </border>
    <border diagonalDown="1">
      <left style="thin">
        <color theme="2" tint="-0.5"/>
      </left>
      <right/>
      <top/>
      <bottom style="thin">
        <color theme="2" tint="-0.25"/>
      </bottom>
      <diagonal style="thin">
        <color theme="2" tint="-0.1"/>
      </diagonal>
    </border>
    <border>
      <left style="thin">
        <color theme="2" tint="-0.5"/>
      </left>
      <right/>
      <top style="thin">
        <color auto="1"/>
      </top>
      <bottom style="thin">
        <color auto="1"/>
      </bottom>
      <diagonal/>
    </border>
    <border>
      <left style="thin">
        <color theme="2" tint="-0.5"/>
      </left>
      <right style="thin">
        <color theme="2" tint="-0.5"/>
      </right>
      <top style="thin">
        <color auto="1"/>
      </top>
      <bottom style="thin">
        <color auto="1"/>
      </bottom>
      <diagonal/>
    </border>
    <border>
      <left/>
      <right style="thin">
        <color theme="2" tint="-0.25"/>
      </right>
      <top style="hair">
        <color auto="1"/>
      </top>
      <bottom style="hair">
        <color auto="1"/>
      </bottom>
      <diagonal/>
    </border>
    <border>
      <left style="thin">
        <color theme="2" tint="-0.1"/>
      </left>
      <right/>
      <top style="hair">
        <color auto="1"/>
      </top>
      <bottom style="thin">
        <color theme="2" tint="-0.1"/>
      </bottom>
      <diagonal/>
    </border>
    <border>
      <left/>
      <right style="hair">
        <color auto="1"/>
      </right>
      <top/>
      <bottom style="thin">
        <color theme="2" tint="-0.25"/>
      </bottom>
      <diagonal/>
    </border>
    <border>
      <left/>
      <right/>
      <top/>
      <bottom style="thin">
        <color theme="2" tint="-0.25"/>
      </bottom>
      <diagonal/>
    </border>
    <border>
      <left style="thin">
        <color theme="2" tint="-0.5"/>
      </left>
      <right/>
      <top/>
      <bottom style="thin">
        <color theme="2" tint="-0.5"/>
      </bottom>
      <diagonal/>
    </border>
    <border>
      <left style="thin">
        <color theme="2" tint="-0.5"/>
      </left>
      <right style="hair">
        <color auto="1"/>
      </right>
      <top/>
      <bottom style="thin">
        <color theme="2" tint="-0.5"/>
      </bottom>
      <diagonal/>
    </border>
    <border>
      <left style="hair">
        <color auto="1"/>
      </left>
      <right style="thin">
        <color theme="2" tint="-0.5"/>
      </right>
      <top/>
      <bottom style="thin">
        <color theme="2" tint="-0.5"/>
      </bottom>
      <diagonal/>
    </border>
    <border>
      <left/>
      <right style="thin">
        <color theme="2" tint="-0.25"/>
      </right>
      <top style="hair">
        <color auto="1"/>
      </top>
      <bottom style="thin">
        <color theme="2" tint="-0.25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theme="2" tint="-0.1"/>
      </right>
      <top style="thin">
        <color theme="2" tint="-0.1"/>
      </top>
      <bottom style="thin">
        <color theme="2" tint="-0.1"/>
      </bottom>
      <diagonal/>
    </border>
    <border>
      <left style="thin">
        <color theme="2" tint="-0.1"/>
      </left>
      <right style="thin">
        <color theme="2" tint="-0.1"/>
      </right>
      <top style="thin">
        <color theme="2" tint="-0.1"/>
      </top>
      <bottom style="thin">
        <color theme="2" tint="-0.1"/>
      </bottom>
      <diagonal/>
    </border>
    <border>
      <left style="thin">
        <color theme="2" tint="-0.1"/>
      </left>
      <right style="medium">
        <color auto="1"/>
      </right>
      <top style="thin">
        <color theme="2" tint="-0.1"/>
      </top>
      <bottom style="thin">
        <color theme="2" tint="-0.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5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30" fillId="0" borderId="0" applyFont="0" applyFill="0" applyBorder="0" applyAlignment="0" applyProtection="0">
      <alignment vertical="center"/>
    </xf>
    <xf numFmtId="179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8" borderId="10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5" applyNumberFormat="0" applyFill="0" applyAlignment="0" applyProtection="0">
      <alignment vertical="center"/>
    </xf>
    <xf numFmtId="0" fontId="37" fillId="0" borderId="105" applyNumberFormat="0" applyFill="0" applyAlignment="0" applyProtection="0">
      <alignment vertical="center"/>
    </xf>
    <xf numFmtId="0" fontId="38" fillId="0" borderId="10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9" borderId="107" applyNumberFormat="0" applyAlignment="0" applyProtection="0">
      <alignment vertical="center"/>
    </xf>
    <xf numFmtId="0" fontId="40" fillId="10" borderId="108" applyNumberFormat="0" applyAlignment="0" applyProtection="0">
      <alignment vertical="center"/>
    </xf>
    <xf numFmtId="0" fontId="41" fillId="10" borderId="107" applyNumberFormat="0" applyAlignment="0" applyProtection="0">
      <alignment vertical="center"/>
    </xf>
    <xf numFmtId="0" fontId="42" fillId="11" borderId="109" applyNumberFormat="0" applyAlignment="0" applyProtection="0">
      <alignment vertical="center"/>
    </xf>
    <xf numFmtId="0" fontId="43" fillId="0" borderId="110" applyNumberFormat="0" applyFill="0" applyAlignment="0" applyProtection="0">
      <alignment vertical="center"/>
    </xf>
    <xf numFmtId="0" fontId="44" fillId="0" borderId="111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4" fontId="0" fillId="0" borderId="112">
      <alignment vertical="justify"/>
    </xf>
    <xf numFmtId="0" fontId="0" fillId="0" borderId="0"/>
    <xf numFmtId="0" fontId="0" fillId="0" borderId="0"/>
    <xf numFmtId="0" fontId="50" fillId="0" borderId="0"/>
    <xf numFmtId="9" fontId="0" fillId="0" borderId="0" applyFill="0" applyBorder="0" applyAlignment="0" applyProtection="0"/>
    <xf numFmtId="180" fontId="50" fillId="0" borderId="0" applyFont="0" applyFill="0" applyBorder="0" applyAlignment="0" applyProtection="0"/>
    <xf numFmtId="180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0" fontId="0" fillId="0" borderId="0" applyFont="0" applyFill="0" applyBorder="0" applyAlignment="0" applyProtection="0"/>
  </cellStyleXfs>
  <cellXfs count="5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0" xfId="0" applyFill="1" applyBorder="1"/>
    <xf numFmtId="0" fontId="0" fillId="3" borderId="0" xfId="0" applyFill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4" fillId="4" borderId="8" xfId="49" applyFont="1" applyFill="1" applyBorder="1" applyAlignment="1">
      <alignment horizontal="center" vertical="center" wrapText="1"/>
    </xf>
    <xf numFmtId="4" fontId="4" fillId="4" borderId="9" xfId="49" applyFont="1" applyFill="1" applyBorder="1" applyAlignment="1">
      <alignment horizontal="center" vertical="center" wrapText="1"/>
    </xf>
    <xf numFmtId="4" fontId="4" fillId="4" borderId="10" xfId="49" applyFont="1" applyFill="1" applyBorder="1" applyAlignment="1">
      <alignment horizontal="center" vertical="center" wrapText="1"/>
    </xf>
    <xf numFmtId="4" fontId="6" fillId="4" borderId="8" xfId="49" applyFont="1" applyFill="1" applyBorder="1" applyAlignment="1">
      <alignment horizontal="center" vertical="center" wrapText="1"/>
    </xf>
    <xf numFmtId="4" fontId="6" fillId="4" borderId="9" xfId="49" applyFont="1" applyFill="1" applyBorder="1" applyAlignment="1">
      <alignment horizontal="center" vertical="center"/>
    </xf>
    <xf numFmtId="4" fontId="6" fillId="4" borderId="9" xfId="49" applyFont="1" applyFill="1" applyBorder="1" applyAlignment="1">
      <alignment horizontal="center" vertical="center" wrapText="1"/>
    </xf>
    <xf numFmtId="4" fontId="6" fillId="4" borderId="10" xfId="49" applyFont="1" applyFill="1" applyBorder="1" applyAlignment="1">
      <alignment horizontal="center" vertical="center" wrapText="1"/>
    </xf>
    <xf numFmtId="10" fontId="6" fillId="0" borderId="8" xfId="49" applyNumberFormat="1" applyFont="1" applyBorder="1" applyAlignment="1">
      <alignment horizontal="left" vertical="center"/>
    </xf>
    <xf numFmtId="10" fontId="7" fillId="0" borderId="9" xfId="49" applyNumberFormat="1" applyFont="1" applyBorder="1" applyAlignment="1">
      <alignment horizontal="center" vertical="center"/>
    </xf>
    <xf numFmtId="10" fontId="7" fillId="0" borderId="9" xfId="53" applyNumberFormat="1" applyFont="1" applyFill="1" applyBorder="1" applyAlignment="1">
      <alignment horizontal="center" vertical="center"/>
    </xf>
    <xf numFmtId="182" fontId="7" fillId="0" borderId="10" xfId="53" applyNumberFormat="1" applyFont="1" applyFill="1" applyBorder="1" applyAlignment="1">
      <alignment horizontal="center" vertical="center"/>
    </xf>
    <xf numFmtId="10" fontId="6" fillId="0" borderId="8" xfId="49" applyNumberFormat="1" applyFont="1" applyBorder="1" applyAlignment="1">
      <alignment horizontal="left" vertical="center" wrapText="1"/>
    </xf>
    <xf numFmtId="10" fontId="7" fillId="0" borderId="8" xfId="49" applyNumberFormat="1" applyFont="1" applyBorder="1" applyAlignment="1">
      <alignment horizontal="left" vertical="center" wrapText="1"/>
    </xf>
    <xf numFmtId="10" fontId="7" fillId="0" borderId="9" xfId="53" applyNumberFormat="1" applyFont="1" applyBorder="1" applyAlignment="1">
      <alignment horizontal="center" vertical="center"/>
    </xf>
    <xf numFmtId="182" fontId="7" fillId="0" borderId="10" xfId="53" applyNumberFormat="1" applyFont="1" applyBorder="1" applyAlignment="1">
      <alignment horizontal="center" vertical="center"/>
    </xf>
    <xf numFmtId="10" fontId="7" fillId="5" borderId="9" xfId="53" applyNumberFormat="1" applyFont="1" applyFill="1" applyBorder="1" applyAlignment="1">
      <alignment horizontal="center" vertical="center"/>
    </xf>
    <xf numFmtId="4" fontId="6" fillId="0" borderId="8" xfId="49" applyFont="1" applyBorder="1" applyAlignment="1">
      <alignment horizontal="center" vertical="center"/>
    </xf>
    <xf numFmtId="4" fontId="8" fillId="0" borderId="9" xfId="49" applyFont="1" applyBorder="1" applyAlignment="1">
      <alignment horizontal="center"/>
    </xf>
    <xf numFmtId="4" fontId="8" fillId="0" borderId="10" xfId="49" applyFont="1" applyBorder="1" applyAlignment="1">
      <alignment horizontal="center"/>
    </xf>
    <xf numFmtId="4" fontId="6" fillId="0" borderId="11" xfId="49" applyFont="1" applyBorder="1" applyAlignment="1">
      <alignment horizontal="center" vertical="center"/>
    </xf>
    <xf numFmtId="4" fontId="7" fillId="0" borderId="12" xfId="49" applyFont="1" applyBorder="1" applyAlignment="1">
      <alignment horizontal="center" vertical="top"/>
    </xf>
    <xf numFmtId="4" fontId="7" fillId="0" borderId="13" xfId="49" applyFont="1" applyBorder="1" applyAlignment="1">
      <alignment horizontal="center" vertical="top"/>
    </xf>
    <xf numFmtId="4" fontId="7" fillId="0" borderId="9" xfId="49" applyFont="1" applyBorder="1" applyAlignment="1">
      <alignment horizontal="center" vertical="center"/>
    </xf>
    <xf numFmtId="10" fontId="9" fillId="0" borderId="9" xfId="53" applyNumberFormat="1" applyFont="1" applyBorder="1" applyAlignment="1">
      <alignment horizontal="center" vertical="center"/>
    </xf>
    <xf numFmtId="10" fontId="6" fillId="4" borderId="10" xfId="53" applyNumberFormat="1" applyFont="1" applyFill="1" applyBorder="1" applyAlignment="1">
      <alignment horizontal="center" vertical="center"/>
    </xf>
    <xf numFmtId="10" fontId="10" fillId="0" borderId="9" xfId="53" applyNumberFormat="1" applyFont="1" applyBorder="1" applyAlignment="1">
      <alignment horizontal="center" vertical="center"/>
    </xf>
    <xf numFmtId="4" fontId="6" fillId="0" borderId="14" xfId="49" applyFont="1" applyBorder="1" applyAlignment="1">
      <alignment horizontal="justify" vertical="center" wrapText="1"/>
    </xf>
    <xf numFmtId="4" fontId="6" fillId="0" borderId="15" xfId="49" applyFont="1" applyBorder="1" applyAlignment="1">
      <alignment horizontal="justify" vertical="center" wrapText="1"/>
    </xf>
    <xf numFmtId="10" fontId="11" fillId="0" borderId="15" xfId="53" applyNumberFormat="1" applyFont="1" applyFill="1" applyBorder="1" applyAlignment="1">
      <alignment horizontal="justify" vertical="center" wrapText="1"/>
    </xf>
    <xf numFmtId="10" fontId="6" fillId="0" borderId="16" xfId="53" applyNumberFormat="1" applyFont="1" applyFill="1" applyBorder="1" applyAlignment="1">
      <alignment horizontal="justify" vertical="center" wrapText="1"/>
    </xf>
    <xf numFmtId="0" fontId="7" fillId="0" borderId="17" xfId="51" applyFont="1" applyBorder="1" applyAlignment="1">
      <alignment horizontal="justify" vertical="center" wrapText="1"/>
    </xf>
    <xf numFmtId="0" fontId="7" fillId="0" borderId="18" xfId="51" applyFont="1" applyBorder="1" applyAlignment="1">
      <alignment horizontal="justify" vertical="center" wrapText="1"/>
    </xf>
    <xf numFmtId="0" fontId="7" fillId="0" borderId="19" xfId="51" applyFont="1" applyBorder="1" applyAlignment="1">
      <alignment horizontal="justify" vertical="center" wrapText="1"/>
    </xf>
    <xf numFmtId="0" fontId="7" fillId="0" borderId="20" xfId="51" applyFont="1" applyBorder="1" applyAlignment="1">
      <alignment horizontal="justify" vertical="center" wrapText="1"/>
    </xf>
    <xf numFmtId="0" fontId="7" fillId="0" borderId="0" xfId="51" applyFont="1" applyAlignment="1">
      <alignment horizontal="justify" vertical="center" wrapText="1"/>
    </xf>
    <xf numFmtId="0" fontId="7" fillId="0" borderId="21" xfId="51" applyFont="1" applyBorder="1" applyAlignment="1">
      <alignment horizontal="justify" vertical="center" wrapText="1"/>
    </xf>
    <xf numFmtId="0" fontId="0" fillId="0" borderId="20" xfId="0" applyBorder="1"/>
    <xf numFmtId="0" fontId="12" fillId="0" borderId="0" xfId="0" applyFont="1"/>
    <xf numFmtId="0" fontId="0" fillId="0" borderId="21" xfId="0" applyBorder="1"/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4" borderId="0" xfId="0" applyFont="1" applyFill="1"/>
    <xf numFmtId="0" fontId="14" fillId="4" borderId="0" xfId="0" applyFont="1" applyFill="1"/>
    <xf numFmtId="0" fontId="7" fillId="2" borderId="0" xfId="0" applyFont="1" applyFill="1"/>
    <xf numFmtId="0" fontId="7" fillId="0" borderId="0" xfId="0" applyFont="1"/>
    <xf numFmtId="0" fontId="15" fillId="0" borderId="22" xfId="0" applyFont="1" applyBorder="1" applyAlignment="1">
      <alignment horizontal="center" vertical="center" wrapText="1"/>
    </xf>
    <xf numFmtId="1" fontId="6" fillId="0" borderId="22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left" vertical="center" wrapText="1"/>
    </xf>
    <xf numFmtId="10" fontId="15" fillId="0" borderId="22" xfId="0" applyNumberFormat="1" applyFont="1" applyBorder="1" applyAlignment="1">
      <alignment horizontal="left" vertical="center" wrapText="1"/>
    </xf>
    <xf numFmtId="0" fontId="15" fillId="0" borderId="22" xfId="50" applyFont="1" applyBorder="1" applyAlignment="1">
      <alignment horizontal="left" vertical="center" wrapText="1"/>
    </xf>
    <xf numFmtId="0" fontId="15" fillId="0" borderId="22" xfId="0" applyFont="1" applyBorder="1" applyAlignment="1">
      <alignment vertical="center" wrapText="1"/>
    </xf>
    <xf numFmtId="10" fontId="15" fillId="0" borderId="22" xfId="0" applyNumberFormat="1" applyFont="1" applyBorder="1" applyAlignment="1">
      <alignment horizontal="center" vertical="center" wrapText="1"/>
    </xf>
    <xf numFmtId="1" fontId="6" fillId="4" borderId="22" xfId="0" applyNumberFormat="1" applyFont="1" applyFill="1" applyBorder="1" applyAlignment="1">
      <alignment vertical="center" wrapText="1"/>
    </xf>
    <xf numFmtId="1" fontId="6" fillId="4" borderId="22" xfId="0" applyNumberFormat="1" applyFont="1" applyFill="1" applyBorder="1" applyAlignment="1">
      <alignment horizontal="center" vertical="center" wrapText="1"/>
    </xf>
    <xf numFmtId="183" fontId="6" fillId="4" borderId="22" xfId="0" applyNumberFormat="1" applyFont="1" applyFill="1" applyBorder="1" applyAlignment="1">
      <alignment vertical="center" wrapText="1"/>
    </xf>
    <xf numFmtId="49" fontId="7" fillId="0" borderId="22" xfId="0" applyNumberFormat="1" applyFont="1" applyBorder="1" applyAlignment="1" applyProtection="1">
      <alignment horizontal="center" wrapText="1"/>
      <protection locked="0"/>
    </xf>
    <xf numFmtId="0" fontId="7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wrapText="1"/>
    </xf>
    <xf numFmtId="184" fontId="7" fillId="0" borderId="22" xfId="0" applyNumberFormat="1" applyFont="1" applyBorder="1" applyAlignment="1" applyProtection="1">
      <alignment horizontal="center" wrapText="1"/>
      <protection locked="0"/>
    </xf>
    <xf numFmtId="183" fontId="7" fillId="0" borderId="22" xfId="0" applyNumberFormat="1" applyFont="1" applyBorder="1" applyAlignment="1">
      <alignment horizontal="center" wrapText="1"/>
    </xf>
    <xf numFmtId="0" fontId="7" fillId="0" borderId="22" xfId="0" applyFont="1" applyBorder="1" applyAlignment="1" applyProtection="1">
      <alignment horizontal="center" wrapText="1"/>
      <protection locked="0"/>
    </xf>
    <xf numFmtId="0" fontId="7" fillId="0" borderId="22" xfId="0" applyFont="1" applyBorder="1"/>
    <xf numFmtId="0" fontId="7" fillId="0" borderId="22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181" fontId="7" fillId="0" borderId="22" xfId="56" applyFont="1" applyFill="1" applyBorder="1" applyAlignment="1">
      <alignment vertical="center"/>
    </xf>
    <xf numFmtId="185" fontId="7" fillId="0" borderId="22" xfId="3" applyNumberFormat="1" applyFont="1" applyBorder="1" applyAlignment="1">
      <alignment vertical="center"/>
    </xf>
    <xf numFmtId="1" fontId="15" fillId="4" borderId="22" xfId="0" applyNumberFormat="1" applyFont="1" applyFill="1" applyBorder="1" applyAlignment="1">
      <alignment vertical="center" wrapText="1"/>
    </xf>
    <xf numFmtId="1" fontId="16" fillId="4" borderId="22" xfId="0" applyNumberFormat="1" applyFont="1" applyFill="1" applyBorder="1" applyAlignment="1">
      <alignment vertical="center" wrapText="1"/>
    </xf>
    <xf numFmtId="183" fontId="15" fillId="4" borderId="22" xfId="0" applyNumberFormat="1" applyFont="1" applyFill="1" applyBorder="1" applyAlignment="1">
      <alignment vertical="center" wrapText="1"/>
    </xf>
    <xf numFmtId="0" fontId="5" fillId="0" borderId="22" xfId="0" applyFont="1" applyBorder="1" applyAlignment="1">
      <alignment wrapText="1"/>
    </xf>
    <xf numFmtId="186" fontId="10" fillId="0" borderId="22" xfId="56" applyNumberFormat="1" applyFont="1" applyFill="1" applyBorder="1" applyAlignment="1">
      <alignment vertical="center" wrapText="1"/>
    </xf>
    <xf numFmtId="177" fontId="10" fillId="0" borderId="22" xfId="2" applyFont="1" applyBorder="1" applyAlignment="1">
      <alignment vertical="center"/>
    </xf>
    <xf numFmtId="177" fontId="7" fillId="0" borderId="22" xfId="2" applyFont="1" applyBorder="1" applyAlignment="1">
      <alignment vertical="center"/>
    </xf>
    <xf numFmtId="0" fontId="5" fillId="0" borderId="22" xfId="0" applyFont="1" applyBorder="1"/>
    <xf numFmtId="49" fontId="7" fillId="2" borderId="22" xfId="0" applyNumberFormat="1" applyFont="1" applyFill="1" applyBorder="1" applyAlignment="1" applyProtection="1">
      <alignment horizontal="center" wrapText="1"/>
      <protection locked="0"/>
    </xf>
    <xf numFmtId="0" fontId="7" fillId="2" borderId="2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wrapText="1"/>
    </xf>
    <xf numFmtId="181" fontId="7" fillId="2" borderId="22" xfId="56" applyFont="1" applyFill="1" applyBorder="1" applyAlignment="1">
      <alignment vertical="center"/>
    </xf>
    <xf numFmtId="186" fontId="10" fillId="2" borderId="22" xfId="56" applyNumberFormat="1" applyFont="1" applyFill="1" applyBorder="1" applyAlignment="1">
      <alignment vertical="center" wrapText="1"/>
    </xf>
    <xf numFmtId="177" fontId="10" fillId="2" borderId="22" xfId="2" applyFont="1" applyFill="1" applyBorder="1" applyAlignment="1">
      <alignment vertical="center"/>
    </xf>
    <xf numFmtId="177" fontId="7" fillId="2" borderId="22" xfId="2" applyFont="1" applyFill="1" applyBorder="1" applyAlignment="1">
      <alignment vertical="center"/>
    </xf>
    <xf numFmtId="0" fontId="5" fillId="2" borderId="22" xfId="0" applyFont="1" applyFill="1" applyBorder="1"/>
    <xf numFmtId="0" fontId="7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wrapText="1"/>
    </xf>
    <xf numFmtId="177" fontId="14" fillId="0" borderId="22" xfId="2" applyFont="1" applyBorder="1" applyAlignment="1">
      <alignment vertical="center"/>
    </xf>
    <xf numFmtId="1" fontId="14" fillId="2" borderId="22" xfId="0" applyNumberFormat="1" applyFont="1" applyFill="1" applyBorder="1" applyAlignment="1">
      <alignment vertical="center" wrapText="1"/>
    </xf>
    <xf numFmtId="187" fontId="14" fillId="2" borderId="22" xfId="0" applyNumberFormat="1" applyFont="1" applyFill="1" applyBorder="1" applyAlignment="1">
      <alignment horizontal="center" vertical="center" wrapText="1"/>
    </xf>
    <xf numFmtId="177" fontId="14" fillId="2" borderId="22" xfId="2" applyNumberFormat="1" applyFont="1" applyFill="1" applyBorder="1" applyAlignment="1">
      <alignment vertical="center" wrapText="1"/>
    </xf>
    <xf numFmtId="177" fontId="14" fillId="2" borderId="22" xfId="2" applyFont="1" applyFill="1" applyBorder="1" applyAlignment="1">
      <alignment vertical="center" wrapText="1"/>
    </xf>
    <xf numFmtId="1" fontId="14" fillId="2" borderId="22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left" vertical="center" wrapText="1"/>
    </xf>
    <xf numFmtId="177" fontId="5" fillId="2" borderId="9" xfId="2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/>
    </xf>
    <xf numFmtId="184" fontId="7" fillId="0" borderId="22" xfId="0" applyNumberFormat="1" applyFont="1" applyBorder="1" applyAlignment="1">
      <alignment horizontal="center"/>
    </xf>
    <xf numFmtId="177" fontId="7" fillId="0" borderId="22" xfId="2" applyFont="1" applyBorder="1"/>
    <xf numFmtId="2" fontId="14" fillId="2" borderId="2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22" xfId="0" applyFont="1" applyBorder="1" applyAlignment="1">
      <alignment vertical="center" wrapText="1"/>
    </xf>
    <xf numFmtId="183" fontId="14" fillId="2" borderId="22" xfId="2" applyNumberFormat="1" applyFont="1" applyFill="1" applyBorder="1" applyAlignment="1">
      <alignment vertical="center" wrapText="1"/>
    </xf>
    <xf numFmtId="0" fontId="18" fillId="0" borderId="22" xfId="0" applyFont="1" applyBorder="1" applyAlignment="1">
      <alignment wrapText="1"/>
    </xf>
    <xf numFmtId="1" fontId="14" fillId="2" borderId="0" xfId="0" applyNumberFormat="1" applyFont="1" applyFill="1" applyBorder="1" applyAlignment="1">
      <alignment horizontal="center" vertical="center" wrapText="1"/>
    </xf>
    <xf numFmtId="0" fontId="7" fillId="0" borderId="23" xfId="0" applyFont="1" applyBorder="1"/>
    <xf numFmtId="1" fontId="14" fillId="2" borderId="24" xfId="0" applyNumberFormat="1" applyFont="1" applyFill="1" applyBorder="1" applyAlignment="1">
      <alignment vertical="center" wrapText="1"/>
    </xf>
    <xf numFmtId="187" fontId="14" fillId="2" borderId="25" xfId="0" applyNumberFormat="1" applyFont="1" applyFill="1" applyBorder="1" applyAlignment="1">
      <alignment horizontal="center" vertical="center" wrapText="1"/>
    </xf>
    <xf numFmtId="177" fontId="14" fillId="2" borderId="25" xfId="2" applyFont="1" applyFill="1" applyBorder="1" applyAlignment="1">
      <alignment vertical="center" wrapText="1"/>
    </xf>
    <xf numFmtId="0" fontId="7" fillId="0" borderId="23" xfId="0" applyFont="1" applyBorder="1" applyAlignment="1">
      <alignment wrapText="1"/>
    </xf>
    <xf numFmtId="49" fontId="7" fillId="2" borderId="0" xfId="0" applyNumberFormat="1" applyFont="1" applyFill="1" applyBorder="1" applyAlignment="1" applyProtection="1">
      <alignment horizontal="center" wrapText="1"/>
      <protection locked="0"/>
    </xf>
    <xf numFmtId="1" fontId="15" fillId="2" borderId="0" xfId="0" applyNumberFormat="1" applyFont="1" applyFill="1" applyBorder="1" applyAlignment="1">
      <alignment vertical="center" wrapText="1"/>
    </xf>
    <xf numFmtId="0" fontId="7" fillId="2" borderId="23" xfId="0" applyFont="1" applyFill="1" applyBorder="1"/>
    <xf numFmtId="177" fontId="15" fillId="2" borderId="25" xfId="2" applyFont="1" applyFill="1" applyBorder="1" applyAlignment="1">
      <alignment vertical="center" wrapText="1"/>
    </xf>
    <xf numFmtId="177" fontId="15" fillId="2" borderId="26" xfId="2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distributed"/>
    </xf>
    <xf numFmtId="0" fontId="19" fillId="0" borderId="0" xfId="0" applyFont="1" applyAlignment="1">
      <alignment horizontal="center" vertical="distributed"/>
    </xf>
    <xf numFmtId="49" fontId="7" fillId="0" borderId="0" xfId="0" applyNumberFormat="1" applyFont="1" applyBorder="1" applyAlignment="1" applyProtection="1">
      <alignment horizontal="center" wrapText="1"/>
      <protection locked="0"/>
    </xf>
    <xf numFmtId="0" fontId="6" fillId="0" borderId="26" xfId="0" applyFont="1" applyBorder="1" applyAlignment="1">
      <alignment horizontal="center"/>
    </xf>
    <xf numFmtId="0" fontId="7" fillId="0" borderId="0" xfId="0" applyFont="1" applyBorder="1" applyAlignment="1">
      <alignment vertical="distributed"/>
    </xf>
    <xf numFmtId="0" fontId="7" fillId="0" borderId="27" xfId="0" applyFont="1" applyBorder="1" applyAlignment="1">
      <alignment vertical="distributed"/>
    </xf>
    <xf numFmtId="0" fontId="7" fillId="0" borderId="25" xfId="0" applyFont="1" applyBorder="1" applyAlignment="1">
      <alignment vertical="distributed"/>
    </xf>
    <xf numFmtId="3" fontId="7" fillId="0" borderId="25" xfId="0" applyNumberFormat="1" applyFont="1" applyBorder="1" applyAlignment="1">
      <alignment horizontal="center" vertical="distributed"/>
    </xf>
    <xf numFmtId="0" fontId="7" fillId="0" borderId="14" xfId="0" applyFont="1" applyBorder="1" applyAlignment="1">
      <alignment horizontal="center"/>
    </xf>
    <xf numFmtId="0" fontId="7" fillId="0" borderId="28" xfId="0" applyFont="1" applyBorder="1" applyAlignment="1">
      <alignment horizontal="center" vertical="distributed"/>
    </xf>
    <xf numFmtId="0" fontId="7" fillId="0" borderId="25" xfId="0" applyFont="1" applyBorder="1" applyAlignment="1">
      <alignment horizontal="center" vertical="distributed"/>
    </xf>
    <xf numFmtId="0" fontId="7" fillId="0" borderId="29" xfId="0" applyFont="1" applyBorder="1" applyAlignment="1">
      <alignment horizontal="center" vertical="distributed"/>
    </xf>
    <xf numFmtId="0" fontId="0" fillId="4" borderId="0" xfId="0" applyFill="1"/>
    <xf numFmtId="0" fontId="20" fillId="0" borderId="3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31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/>
    </xf>
    <xf numFmtId="1" fontId="23" fillId="4" borderId="9" xfId="0" applyNumberFormat="1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left" vertical="top"/>
    </xf>
    <xf numFmtId="0" fontId="24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left" vertical="top" wrapText="1"/>
    </xf>
    <xf numFmtId="0" fontId="24" fillId="0" borderId="9" xfId="0" applyFont="1" applyBorder="1" applyAlignment="1">
      <alignment horizontal="left" vertical="center" wrapText="1"/>
    </xf>
    <xf numFmtId="0" fontId="24" fillId="0" borderId="9" xfId="0" applyFont="1" applyBorder="1" applyAlignment="1">
      <alignment vertical="center"/>
    </xf>
    <xf numFmtId="10" fontId="24" fillId="0" borderId="9" xfId="0" applyNumberFormat="1" applyFont="1" applyBorder="1" applyAlignment="1">
      <alignment horizontal="left" vertical="center"/>
    </xf>
    <xf numFmtId="0" fontId="24" fillId="0" borderId="9" xfId="5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/>
    </xf>
    <xf numFmtId="10" fontId="24" fillId="0" borderId="9" xfId="3" applyNumberFormat="1" applyFont="1" applyBorder="1" applyAlignment="1">
      <alignment horizontal="center" vertical="center" wrapText="1"/>
    </xf>
    <xf numFmtId="0" fontId="25" fillId="0" borderId="9" xfId="52" applyFont="1" applyBorder="1" applyAlignment="1">
      <alignment horizontal="center" vertical="center" wrapText="1"/>
    </xf>
    <xf numFmtId="180" fontId="23" fillId="0" borderId="9" xfId="55" applyFont="1" applyFill="1" applyBorder="1" applyAlignment="1" applyProtection="1">
      <alignment horizontal="center" vertical="center" wrapText="1"/>
    </xf>
    <xf numFmtId="188" fontId="23" fillId="0" borderId="9" xfId="1" applyNumberFormat="1" applyFont="1" applyFill="1" applyBorder="1" applyAlignment="1" applyProtection="1">
      <alignment horizontal="center" vertical="center"/>
    </xf>
    <xf numFmtId="0" fontId="25" fillId="0" borderId="9" xfId="52" applyFont="1" applyBorder="1" applyAlignment="1">
      <alignment horizontal="center"/>
    </xf>
    <xf numFmtId="189" fontId="25" fillId="0" borderId="9" xfId="52" applyNumberFormat="1" applyFont="1" applyBorder="1" applyAlignment="1">
      <alignment horizontal="center"/>
    </xf>
    <xf numFmtId="0" fontId="26" fillId="0" borderId="9" xfId="52" applyFont="1" applyBorder="1"/>
    <xf numFmtId="0" fontId="27" fillId="0" borderId="9" xfId="52" applyFont="1" applyBorder="1" applyAlignment="1">
      <alignment horizontal="left"/>
    </xf>
    <xf numFmtId="183" fontId="12" fillId="0" borderId="9" xfId="55" applyNumberFormat="1" applyFont="1" applyFill="1" applyBorder="1" applyAlignment="1" applyProtection="1">
      <alignment horizontal="right" shrinkToFit="1"/>
    </xf>
    <xf numFmtId="188" fontId="12" fillId="0" borderId="9" xfId="1" applyNumberFormat="1" applyFont="1" applyFill="1" applyBorder="1" applyAlignment="1" applyProtection="1">
      <alignment horizontal="center" vertical="center"/>
    </xf>
    <xf numFmtId="10" fontId="12" fillId="2" borderId="9" xfId="53" applyNumberFormat="1" applyFont="1" applyFill="1" applyBorder="1" applyAlignment="1" applyProtection="1">
      <alignment horizontal="center"/>
      <protection locked="0"/>
    </xf>
    <xf numFmtId="190" fontId="26" fillId="0" borderId="9" xfId="52" applyNumberFormat="1" applyFont="1" applyBorder="1" applyAlignment="1">
      <alignment horizontal="left"/>
    </xf>
    <xf numFmtId="10" fontId="26" fillId="0" borderId="30" xfId="52" applyNumberFormat="1" applyFont="1" applyBorder="1" applyAlignment="1">
      <alignment horizontal="left"/>
    </xf>
    <xf numFmtId="10" fontId="26" fillId="0" borderId="6" xfId="52" applyNumberFormat="1" applyFont="1" applyBorder="1" applyAlignment="1">
      <alignment horizontal="left"/>
    </xf>
    <xf numFmtId="10" fontId="26" fillId="0" borderId="32" xfId="52" applyNumberFormat="1" applyFont="1" applyBorder="1" applyAlignment="1">
      <alignment horizontal="left"/>
    </xf>
    <xf numFmtId="183" fontId="12" fillId="0" borderId="9" xfId="1" applyNumberFormat="1" applyFont="1" applyFill="1" applyBorder="1" applyAlignment="1" applyProtection="1">
      <alignment horizontal="right" shrinkToFit="1"/>
    </xf>
    <xf numFmtId="10" fontId="12" fillId="4" borderId="9" xfId="53" applyNumberFormat="1" applyFont="1" applyFill="1" applyBorder="1" applyAlignment="1" applyProtection="1">
      <alignment horizontal="center"/>
    </xf>
    <xf numFmtId="190" fontId="26" fillId="0" borderId="30" xfId="52" applyNumberFormat="1" applyFont="1" applyBorder="1" applyAlignment="1">
      <alignment horizontal="center"/>
    </xf>
    <xf numFmtId="190" fontId="26" fillId="0" borderId="6" xfId="52" applyNumberFormat="1" applyFont="1" applyBorder="1" applyAlignment="1">
      <alignment horizontal="center"/>
    </xf>
    <xf numFmtId="190" fontId="26" fillId="0" borderId="32" xfId="52" applyNumberFormat="1" applyFont="1" applyBorder="1" applyAlignment="1">
      <alignment horizontal="center"/>
    </xf>
    <xf numFmtId="177" fontId="12" fillId="2" borderId="9" xfId="2" applyFont="1" applyFill="1" applyBorder="1" applyAlignment="1" applyProtection="1">
      <alignment horizontal="center"/>
    </xf>
    <xf numFmtId="10" fontId="12" fillId="2" borderId="9" xfId="53" applyNumberFormat="1" applyFont="1" applyFill="1" applyBorder="1" applyAlignment="1" applyProtection="1">
      <alignment horizontal="center"/>
    </xf>
    <xf numFmtId="177" fontId="12" fillId="2" borderId="9" xfId="2" applyNumberFormat="1" applyFont="1" applyFill="1" applyBorder="1" applyAlignment="1" applyProtection="1">
      <alignment horizontal="center"/>
    </xf>
    <xf numFmtId="0" fontId="26" fillId="6" borderId="9" xfId="52" applyFont="1" applyFill="1" applyBorder="1"/>
    <xf numFmtId="0" fontId="25" fillId="7" borderId="33" xfId="52" applyFont="1" applyFill="1" applyBorder="1" applyAlignment="1">
      <alignment horizontal="right" vertical="center"/>
    </xf>
    <xf numFmtId="0" fontId="25" fillId="7" borderId="34" xfId="52" applyFont="1" applyFill="1" applyBorder="1" applyAlignment="1">
      <alignment horizontal="right" vertical="center"/>
    </xf>
    <xf numFmtId="0" fontId="25" fillId="7" borderId="31" xfId="52" applyFont="1" applyFill="1" applyBorder="1" applyAlignment="1">
      <alignment horizontal="right" vertical="center"/>
    </xf>
    <xf numFmtId="177" fontId="25" fillId="7" borderId="12" xfId="2" applyFont="1" applyFill="1" applyBorder="1" applyAlignment="1">
      <alignment horizontal="left" vertical="center"/>
    </xf>
    <xf numFmtId="180" fontId="12" fillId="7" borderId="9" xfId="55" applyFont="1" applyFill="1" applyBorder="1" applyAlignment="1" applyProtection="1">
      <alignment horizontal="center"/>
    </xf>
    <xf numFmtId="180" fontId="12" fillId="7" borderId="9" xfId="55" applyFont="1" applyFill="1" applyBorder="1" applyAlignment="1" applyProtection="1">
      <alignment horizontal="right"/>
    </xf>
    <xf numFmtId="10" fontId="12" fillId="7" borderId="9" xfId="53" applyNumberFormat="1" applyFont="1" applyFill="1" applyBorder="1" applyAlignment="1" applyProtection="1"/>
    <xf numFmtId="0" fontId="25" fillId="7" borderId="35" xfId="52" applyFont="1" applyFill="1" applyBorder="1" applyAlignment="1">
      <alignment horizontal="right" vertical="center"/>
    </xf>
    <xf numFmtId="0" fontId="25" fillId="7" borderId="0" xfId="52" applyFont="1" applyFill="1" applyAlignment="1">
      <alignment horizontal="right" vertical="center"/>
    </xf>
    <xf numFmtId="0" fontId="25" fillId="7" borderId="36" xfId="52" applyFont="1" applyFill="1" applyBorder="1" applyAlignment="1">
      <alignment horizontal="right" vertical="center"/>
    </xf>
    <xf numFmtId="177" fontId="25" fillId="7" borderId="37" xfId="2" applyFont="1" applyFill="1" applyBorder="1" applyAlignment="1">
      <alignment horizontal="left" vertical="center"/>
    </xf>
    <xf numFmtId="180" fontId="23" fillId="7" borderId="9" xfId="55" applyFont="1" applyFill="1" applyBorder="1" applyAlignment="1" applyProtection="1">
      <alignment horizontal="center"/>
    </xf>
    <xf numFmtId="180" fontId="23" fillId="7" borderId="9" xfId="55" applyFont="1" applyFill="1" applyBorder="1" applyAlignment="1" applyProtection="1">
      <alignment horizontal="right"/>
    </xf>
    <xf numFmtId="183" fontId="12" fillId="7" borderId="9" xfId="1" applyNumberFormat="1" applyFont="1" applyFill="1" applyBorder="1" applyAlignment="1" applyProtection="1">
      <alignment shrinkToFit="1"/>
    </xf>
    <xf numFmtId="0" fontId="25" fillId="7" borderId="38" xfId="52" applyFont="1" applyFill="1" applyBorder="1" applyAlignment="1">
      <alignment horizontal="right" vertical="center"/>
    </xf>
    <xf numFmtId="0" fontId="25" fillId="7" borderId="39" xfId="52" applyFont="1" applyFill="1" applyBorder="1" applyAlignment="1">
      <alignment horizontal="right" vertical="center"/>
    </xf>
    <xf numFmtId="0" fontId="25" fillId="7" borderId="40" xfId="52" applyFont="1" applyFill="1" applyBorder="1" applyAlignment="1">
      <alignment horizontal="right" vertical="center"/>
    </xf>
    <xf numFmtId="177" fontId="25" fillId="7" borderId="41" xfId="2" applyFont="1" applyFill="1" applyBorder="1" applyAlignment="1">
      <alignment horizontal="left" vertical="center"/>
    </xf>
    <xf numFmtId="183" fontId="28" fillId="7" borderId="9" xfId="55" applyNumberFormat="1" applyFont="1" applyFill="1" applyBorder="1" applyAlignment="1" applyProtection="1">
      <alignment shrinkToFit="1"/>
    </xf>
    <xf numFmtId="0" fontId="5" fillId="0" borderId="35" xfId="0" applyFont="1" applyBorder="1" applyAlignment="1">
      <alignment horizontal="center"/>
    </xf>
    <xf numFmtId="4" fontId="12" fillId="0" borderId="0" xfId="0" applyNumberFormat="1" applyFont="1" applyAlignment="1">
      <alignment horizontal="center"/>
    </xf>
    <xf numFmtId="0" fontId="12" fillId="0" borderId="36" xfId="0" applyFont="1" applyBorder="1"/>
    <xf numFmtId="0" fontId="29" fillId="0" borderId="35" xfId="0" applyFont="1" applyBorder="1" applyAlignment="1">
      <alignment horizontal="center"/>
    </xf>
    <xf numFmtId="0" fontId="12" fillId="0" borderId="0" xfId="0" applyFont="1" applyBorder="1" applyAlignment="1">
      <alignment horizontal="center" vertical="distributed"/>
    </xf>
    <xf numFmtId="0" fontId="7" fillId="0" borderId="35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39" xfId="0" applyFont="1" applyBorder="1"/>
    <xf numFmtId="180" fontId="12" fillId="0" borderId="39" xfId="0" applyNumberFormat="1" applyFont="1" applyBorder="1" applyAlignment="1">
      <alignment horizontal="center"/>
    </xf>
    <xf numFmtId="0" fontId="12" fillId="0" borderId="40" xfId="0" applyFont="1" applyBorder="1"/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6" fillId="0" borderId="45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5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6" xfId="0" applyFont="1" applyBorder="1" applyAlignment="1">
      <alignment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45" xfId="1" applyNumberFormat="1" applyFont="1" applyFill="1" applyBorder="1" applyAlignment="1">
      <alignment horizontal="center" vertical="center" wrapText="1"/>
    </xf>
    <xf numFmtId="176" fontId="11" fillId="4" borderId="30" xfId="1" applyFont="1" applyFill="1" applyBorder="1" applyAlignment="1">
      <alignment horizontal="center" vertical="center" wrapText="1"/>
    </xf>
    <xf numFmtId="176" fontId="11" fillId="4" borderId="6" xfId="1" applyFont="1" applyFill="1" applyBorder="1" applyAlignment="1">
      <alignment horizontal="center" vertical="center" wrapText="1"/>
    </xf>
    <xf numFmtId="176" fontId="11" fillId="4" borderId="47" xfId="1" applyFont="1" applyFill="1" applyBorder="1" applyAlignment="1">
      <alignment horizontal="center" vertical="center" wrapText="1"/>
    </xf>
    <xf numFmtId="1" fontId="10" fillId="0" borderId="45" xfId="1" applyNumberFormat="1" applyFont="1" applyFill="1" applyBorder="1" applyAlignment="1">
      <alignment horizontal="center" vertical="center" wrapText="1"/>
    </xf>
    <xf numFmtId="176" fontId="10" fillId="0" borderId="9" xfId="1" applyFont="1" applyFill="1" applyBorder="1" applyAlignment="1">
      <alignment horizontal="center" vertical="center" wrapText="1"/>
    </xf>
    <xf numFmtId="1" fontId="7" fillId="0" borderId="9" xfId="1" applyNumberFormat="1" applyFont="1" applyFill="1" applyBorder="1" applyAlignment="1">
      <alignment horizontal="center" vertical="center" wrapText="1"/>
    </xf>
    <xf numFmtId="1" fontId="7" fillId="0" borderId="9" xfId="0" applyNumberFormat="1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176" fontId="7" fillId="0" borderId="46" xfId="1" applyFont="1" applyFill="1" applyBorder="1" applyAlignment="1">
      <alignment horizontal="center" vertical="center" wrapText="1"/>
    </xf>
    <xf numFmtId="176" fontId="6" fillId="4" borderId="46" xfId="1" applyFont="1" applyFill="1" applyBorder="1" applyAlignment="1">
      <alignment horizontal="center" vertical="center" wrapText="1"/>
    </xf>
    <xf numFmtId="0" fontId="10" fillId="0" borderId="48" xfId="1" applyNumberFormat="1" applyFont="1" applyFill="1" applyBorder="1" applyAlignment="1">
      <alignment horizontal="center" vertical="center" wrapText="1"/>
    </xf>
    <xf numFmtId="0" fontId="10" fillId="0" borderId="6" xfId="1" applyNumberFormat="1" applyFont="1" applyFill="1" applyBorder="1" applyAlignment="1">
      <alignment horizontal="center" vertical="center" wrapText="1"/>
    </xf>
    <xf numFmtId="0" fontId="10" fillId="0" borderId="47" xfId="1" applyNumberFormat="1" applyFont="1" applyFill="1" applyBorder="1" applyAlignment="1">
      <alignment horizontal="center" vertical="center" wrapText="1"/>
    </xf>
    <xf numFmtId="0" fontId="10" fillId="0" borderId="45" xfId="1" applyNumberFormat="1" applyFont="1" applyFill="1" applyBorder="1" applyAlignment="1">
      <alignment horizontal="center" vertical="center" wrapText="1"/>
    </xf>
    <xf numFmtId="0" fontId="7" fillId="0" borderId="9" xfId="1" applyNumberFormat="1" applyFont="1" applyFill="1" applyBorder="1" applyAlignment="1">
      <alignment horizontal="center" vertical="center" wrapText="1"/>
    </xf>
    <xf numFmtId="176" fontId="7" fillId="0" borderId="9" xfId="1" applyFont="1" applyBorder="1" applyAlignment="1">
      <alignment horizontal="left" vertical="center" wrapText="1"/>
    </xf>
    <xf numFmtId="1" fontId="5" fillId="2" borderId="9" xfId="56" applyNumberFormat="1" applyFont="1" applyFill="1" applyBorder="1" applyAlignment="1">
      <alignment horizontal="center" vertical="center" wrapText="1"/>
    </xf>
    <xf numFmtId="1" fontId="5" fillId="0" borderId="9" xfId="56" applyNumberFormat="1" applyFont="1" applyFill="1" applyBorder="1" applyAlignment="1">
      <alignment horizontal="center" vertical="center" wrapText="1"/>
    </xf>
    <xf numFmtId="0" fontId="10" fillId="0" borderId="6" xfId="1" applyNumberFormat="1" applyFont="1" applyFill="1" applyBorder="1" applyAlignment="1">
      <alignment horizontal="left" vertical="center" wrapText="1"/>
    </xf>
    <xf numFmtId="1" fontId="5" fillId="2" borderId="30" xfId="56" applyNumberFormat="1" applyFont="1" applyFill="1" applyBorder="1" applyAlignment="1">
      <alignment horizontal="center" vertical="center" wrapText="1"/>
    </xf>
    <xf numFmtId="1" fontId="5" fillId="0" borderId="6" xfId="56" applyNumberFormat="1" applyFont="1" applyFill="1" applyBorder="1" applyAlignment="1">
      <alignment horizontal="center" vertical="center" wrapText="1"/>
    </xf>
    <xf numFmtId="1" fontId="6" fillId="4" borderId="45" xfId="1" applyNumberFormat="1" applyFont="1" applyFill="1" applyBorder="1" applyAlignment="1">
      <alignment horizontal="center" vertical="center" wrapText="1"/>
    </xf>
    <xf numFmtId="176" fontId="6" fillId="4" borderId="30" xfId="1" applyFont="1" applyFill="1" applyBorder="1" applyAlignment="1">
      <alignment horizontal="center" vertical="center" wrapText="1"/>
    </xf>
    <xf numFmtId="176" fontId="6" fillId="4" borderId="6" xfId="1" applyFont="1" applyFill="1" applyBorder="1" applyAlignment="1">
      <alignment horizontal="center" vertical="center" wrapText="1"/>
    </xf>
    <xf numFmtId="176" fontId="6" fillId="4" borderId="47" xfId="1" applyFont="1" applyFill="1" applyBorder="1" applyAlignment="1">
      <alignment horizontal="center" vertical="center" wrapText="1"/>
    </xf>
    <xf numFmtId="176" fontId="7" fillId="0" borderId="46" xfId="1" applyFont="1" applyFill="1" applyBorder="1" applyAlignment="1">
      <alignment vertical="center" wrapText="1"/>
    </xf>
    <xf numFmtId="0" fontId="7" fillId="0" borderId="0" xfId="0" applyFont="1" applyAlignment="1"/>
    <xf numFmtId="176" fontId="7" fillId="0" borderId="12" xfId="1" applyFont="1" applyBorder="1" applyAlignment="1">
      <alignment horizontal="left" vertical="center" wrapText="1"/>
    </xf>
    <xf numFmtId="176" fontId="6" fillId="2" borderId="46" xfId="1" applyFont="1" applyFill="1" applyBorder="1" applyAlignment="1">
      <alignment horizontal="center" vertical="center" wrapText="1"/>
    </xf>
    <xf numFmtId="176" fontId="7" fillId="0" borderId="41" xfId="1" applyFont="1" applyBorder="1" applyAlignment="1">
      <alignment horizontal="left" vertical="center" wrapText="1"/>
    </xf>
    <xf numFmtId="176" fontId="7" fillId="0" borderId="9" xfId="1" applyFont="1" applyBorder="1" applyAlignment="1">
      <alignment horizontal="right" vertical="center" wrapText="1"/>
    </xf>
    <xf numFmtId="0" fontId="7" fillId="0" borderId="9" xfId="1" applyNumberFormat="1" applyFont="1" applyBorder="1" applyAlignment="1">
      <alignment horizontal="left" vertical="center" wrapText="1"/>
    </xf>
    <xf numFmtId="0" fontId="7" fillId="0" borderId="9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49" xfId="0" applyFont="1" applyBorder="1" applyAlignment="1">
      <alignment horizontal="center"/>
    </xf>
    <xf numFmtId="176" fontId="10" fillId="0" borderId="6" xfId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49" xfId="0" applyFont="1" applyBorder="1"/>
    <xf numFmtId="176" fontId="6" fillId="2" borderId="47" xfId="1" applyFont="1" applyFill="1" applyBorder="1" applyAlignment="1">
      <alignment horizontal="center" vertical="center" wrapText="1"/>
    </xf>
    <xf numFmtId="1" fontId="7" fillId="2" borderId="46" xfId="56" applyNumberFormat="1" applyFont="1" applyFill="1" applyBorder="1" applyAlignment="1">
      <alignment horizontal="center" vertical="center" wrapText="1"/>
    </xf>
    <xf numFmtId="1" fontId="5" fillId="2" borderId="6" xfId="56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7" fillId="0" borderId="6" xfId="1" applyFont="1" applyBorder="1" applyAlignment="1">
      <alignment horizontal="left" vertical="center" wrapText="1"/>
    </xf>
    <xf numFmtId="1" fontId="11" fillId="4" borderId="45" xfId="1" applyNumberFormat="1" applyFont="1" applyFill="1" applyBorder="1" applyAlignment="1">
      <alignment horizontal="center" vertical="center" wrapText="1"/>
    </xf>
    <xf numFmtId="1" fontId="6" fillId="4" borderId="30" xfId="0" applyNumberFormat="1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1" fontId="6" fillId="4" borderId="47" xfId="0" applyNumberFormat="1" applyFont="1" applyFill="1" applyBorder="1" applyAlignment="1">
      <alignment horizontal="center" vertical="center" wrapText="1"/>
    </xf>
    <xf numFmtId="176" fontId="7" fillId="0" borderId="9" xfId="1" applyFont="1" applyBorder="1" applyAlignment="1">
      <alignment horizontal="left" vertical="top" wrapText="1"/>
    </xf>
    <xf numFmtId="184" fontId="7" fillId="0" borderId="9" xfId="1" applyNumberFormat="1" applyFont="1" applyBorder="1" applyAlignment="1">
      <alignment horizontal="right" vertical="center" wrapText="1"/>
    </xf>
    <xf numFmtId="176" fontId="7" fillId="0" borderId="9" xfId="1" applyFont="1" applyBorder="1" applyAlignment="1">
      <alignment horizontal="center" vertical="center" wrapText="1"/>
    </xf>
    <xf numFmtId="176" fontId="7" fillId="2" borderId="46" xfId="1" applyFont="1" applyFill="1" applyBorder="1" applyAlignment="1">
      <alignment horizontal="center" vertical="center" wrapText="1"/>
    </xf>
    <xf numFmtId="176" fontId="15" fillId="4" borderId="46" xfId="1" applyFont="1" applyFill="1" applyBorder="1" applyAlignment="1">
      <alignment horizontal="center" vertical="center" wrapText="1"/>
    </xf>
    <xf numFmtId="176" fontId="6" fillId="4" borderId="9" xfId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76" fontId="7" fillId="0" borderId="50" xfId="1" applyFont="1" applyBorder="1" applyAlignment="1">
      <alignment horizontal="left" vertical="center" wrapText="1"/>
    </xf>
    <xf numFmtId="176" fontId="7" fillId="0" borderId="32" xfId="1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76" fontId="7" fillId="0" borderId="51" xfId="1" applyFont="1" applyBorder="1" applyAlignment="1">
      <alignment horizontal="left" vertical="center" wrapText="1"/>
    </xf>
    <xf numFmtId="176" fontId="7" fillId="0" borderId="31" xfId="1" applyFont="1" applyBorder="1" applyAlignment="1">
      <alignment horizontal="left" vertical="center" wrapText="1"/>
    </xf>
    <xf numFmtId="176" fontId="7" fillId="0" borderId="12" xfId="1" applyNumberFormat="1" applyFont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176" fontId="7" fillId="0" borderId="52" xfId="1" applyFont="1" applyBorder="1" applyAlignment="1">
      <alignment horizontal="left" vertical="center" wrapText="1"/>
    </xf>
    <xf numFmtId="176" fontId="7" fillId="0" borderId="0" xfId="1" applyFont="1" applyAlignment="1">
      <alignment horizontal="left" vertical="center" wrapText="1"/>
    </xf>
    <xf numFmtId="176" fontId="7" fillId="0" borderId="0" xfId="1" applyNumberFormat="1" applyFont="1" applyAlignment="1">
      <alignment horizontal="left" vertical="center" wrapText="1"/>
    </xf>
    <xf numFmtId="176" fontId="7" fillId="0" borderId="32" xfId="1" applyFont="1" applyBorder="1" applyAlignment="1">
      <alignment horizontal="left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center" vertical="center" wrapText="1"/>
    </xf>
    <xf numFmtId="0" fontId="17" fillId="2" borderId="55" xfId="0" applyFont="1" applyFill="1" applyBorder="1" applyAlignment="1">
      <alignment horizontal="center" vertical="center" wrapText="1"/>
    </xf>
    <xf numFmtId="0" fontId="17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17" fillId="2" borderId="59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17" fillId="2" borderId="61" xfId="0" applyFont="1" applyFill="1" applyBorder="1" applyAlignment="1">
      <alignment horizontal="center" vertical="center" wrapText="1"/>
    </xf>
    <xf numFmtId="0" fontId="17" fillId="2" borderId="62" xfId="0" applyFont="1" applyFill="1" applyBorder="1" applyAlignment="1">
      <alignment horizontal="center" vertical="center" wrapText="1"/>
    </xf>
    <xf numFmtId="0" fontId="17" fillId="2" borderId="63" xfId="0" applyFont="1" applyFill="1" applyBorder="1" applyAlignment="1">
      <alignment horizontal="center" vertical="center" wrapText="1"/>
    </xf>
    <xf numFmtId="0" fontId="17" fillId="2" borderId="64" xfId="0" applyFont="1" applyFill="1" applyBorder="1" applyAlignment="1">
      <alignment horizontal="center" vertical="center" wrapText="1"/>
    </xf>
    <xf numFmtId="0" fontId="17" fillId="2" borderId="65" xfId="0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 wrapText="1"/>
    </xf>
    <xf numFmtId="0" fontId="17" fillId="2" borderId="52" xfId="0" applyFont="1" applyFill="1" applyBorder="1" applyAlignment="1">
      <alignment horizontal="left" vertical="center" wrapText="1"/>
    </xf>
    <xf numFmtId="0" fontId="17" fillId="2" borderId="67" xfId="0" applyFont="1" applyFill="1" applyBorder="1" applyAlignment="1">
      <alignment horizontal="left" vertical="center" wrapText="1"/>
    </xf>
    <xf numFmtId="0" fontId="17" fillId="2" borderId="68" xfId="0" applyFont="1" applyFill="1" applyBorder="1" applyAlignment="1">
      <alignment horizontal="left" vertical="center" wrapText="1"/>
    </xf>
    <xf numFmtId="0" fontId="17" fillId="2" borderId="69" xfId="0" applyFont="1" applyFill="1" applyBorder="1" applyAlignment="1">
      <alignment horizontal="left" vertical="center" wrapText="1"/>
    </xf>
    <xf numFmtId="0" fontId="17" fillId="2" borderId="70" xfId="0" applyFont="1" applyFill="1" applyBorder="1" applyAlignment="1">
      <alignment horizontal="left" vertical="center" wrapText="1"/>
    </xf>
    <xf numFmtId="176" fontId="7" fillId="0" borderId="71" xfId="1" applyFont="1" applyBorder="1" applyAlignment="1">
      <alignment horizontal="left" vertical="center" wrapText="1"/>
    </xf>
    <xf numFmtId="176" fontId="7" fillId="0" borderId="72" xfId="1" applyFont="1" applyBorder="1" applyAlignment="1">
      <alignment horizontal="left" vertical="center" wrapText="1"/>
    </xf>
    <xf numFmtId="0" fontId="7" fillId="0" borderId="73" xfId="0" applyFont="1" applyBorder="1"/>
    <xf numFmtId="176" fontId="7" fillId="0" borderId="74" xfId="1" applyFont="1" applyBorder="1" applyAlignment="1">
      <alignment horizontal="left" vertical="center" wrapText="1"/>
    </xf>
    <xf numFmtId="176" fontId="7" fillId="0" borderId="75" xfId="1" applyFont="1" applyBorder="1" applyAlignment="1">
      <alignment horizontal="left" vertical="center" wrapText="1"/>
    </xf>
    <xf numFmtId="176" fontId="7" fillId="0" borderId="76" xfId="1" applyNumberFormat="1" applyFont="1" applyBorder="1" applyAlignment="1">
      <alignment horizontal="left" vertical="center" wrapText="1"/>
    </xf>
    <xf numFmtId="176" fontId="7" fillId="0" borderId="77" xfId="1" applyFont="1" applyBorder="1" applyAlignment="1">
      <alignment horizontal="left" vertical="center" wrapText="1"/>
    </xf>
    <xf numFmtId="176" fontId="7" fillId="0" borderId="78" xfId="1" applyFont="1" applyBorder="1" applyAlignment="1">
      <alignment horizontal="left" vertical="center" wrapText="1"/>
    </xf>
    <xf numFmtId="176" fontId="7" fillId="0" borderId="79" xfId="1" applyFont="1" applyBorder="1" applyAlignment="1">
      <alignment horizontal="left" vertical="center" wrapText="1"/>
    </xf>
    <xf numFmtId="0" fontId="7" fillId="0" borderId="80" xfId="0" applyFont="1" applyBorder="1"/>
    <xf numFmtId="176" fontId="7" fillId="0" borderId="81" xfId="1" applyFont="1" applyBorder="1" applyAlignment="1">
      <alignment horizontal="left" vertical="center" wrapText="1"/>
    </xf>
    <xf numFmtId="176" fontId="7" fillId="0" borderId="82" xfId="1" applyFont="1" applyBorder="1" applyAlignment="1">
      <alignment horizontal="left" vertical="center" wrapText="1"/>
    </xf>
    <xf numFmtId="176" fontId="7" fillId="0" borderId="83" xfId="1" applyNumberFormat="1" applyFont="1" applyBorder="1" applyAlignment="1">
      <alignment horizontal="left" vertical="center" wrapText="1"/>
    </xf>
    <xf numFmtId="176" fontId="7" fillId="0" borderId="84" xfId="1" applyFont="1" applyBorder="1" applyAlignment="1">
      <alignment horizontal="left" vertical="center" wrapText="1"/>
    </xf>
    <xf numFmtId="0" fontId="5" fillId="2" borderId="85" xfId="0" applyFont="1" applyFill="1" applyBorder="1" applyAlignment="1">
      <alignment horizontal="center" vertical="center" wrapText="1"/>
    </xf>
    <xf numFmtId="176" fontId="7" fillId="0" borderId="86" xfId="1" applyFont="1" applyBorder="1" applyAlignment="1">
      <alignment horizontal="left" vertical="center" wrapText="1"/>
    </xf>
    <xf numFmtId="0" fontId="7" fillId="0" borderId="87" xfId="0" applyFont="1" applyBorder="1"/>
    <xf numFmtId="176" fontId="7" fillId="0" borderId="88" xfId="1" applyFont="1" applyBorder="1" applyAlignment="1">
      <alignment horizontal="left" vertical="center" wrapText="1"/>
    </xf>
    <xf numFmtId="176" fontId="7" fillId="0" borderId="89" xfId="1" applyFont="1" applyBorder="1" applyAlignment="1">
      <alignment horizontal="left" vertical="center" wrapText="1"/>
    </xf>
    <xf numFmtId="176" fontId="7" fillId="0" borderId="90" xfId="1" applyNumberFormat="1" applyFont="1" applyBorder="1" applyAlignment="1">
      <alignment horizontal="left" vertical="center" wrapText="1"/>
    </xf>
    <xf numFmtId="176" fontId="7" fillId="0" borderId="91" xfId="1" applyFont="1" applyBorder="1" applyAlignment="1">
      <alignment horizontal="left" vertical="center" wrapText="1"/>
    </xf>
    <xf numFmtId="176" fontId="6" fillId="4" borderId="41" xfId="1" applyFont="1" applyFill="1" applyBorder="1" applyAlignment="1">
      <alignment horizontal="center" vertical="center" wrapText="1"/>
    </xf>
    <xf numFmtId="176" fontId="10" fillId="0" borderId="30" xfId="1" applyFont="1" applyFill="1" applyBorder="1" applyAlignment="1">
      <alignment horizontal="center" vertical="center" wrapText="1"/>
    </xf>
    <xf numFmtId="176" fontId="7" fillId="0" borderId="6" xfId="1" applyFont="1" applyBorder="1" applyAlignment="1">
      <alignment horizontal="center" vertical="center" wrapText="1"/>
    </xf>
    <xf numFmtId="176" fontId="7" fillId="2" borderId="45" xfId="1" applyFont="1" applyFill="1" applyBorder="1" applyAlignment="1">
      <alignment horizontal="center" vertical="center" wrapText="1"/>
    </xf>
    <xf numFmtId="176" fontId="7" fillId="2" borderId="6" xfId="1" applyFont="1" applyFill="1" applyBorder="1" applyAlignment="1">
      <alignment horizontal="left" vertical="center" wrapText="1"/>
    </xf>
    <xf numFmtId="176" fontId="7" fillId="2" borderId="47" xfId="1" applyFont="1" applyFill="1" applyBorder="1" applyAlignment="1">
      <alignment horizontal="center" vertical="center" wrapText="1"/>
    </xf>
    <xf numFmtId="176" fontId="7" fillId="2" borderId="92" xfId="1" applyFont="1" applyFill="1" applyBorder="1" applyAlignment="1">
      <alignment horizontal="center" vertical="center" wrapText="1"/>
    </xf>
    <xf numFmtId="1" fontId="5" fillId="0" borderId="0" xfId="56" applyNumberFormat="1" applyFont="1" applyFill="1" applyBorder="1" applyAlignment="1">
      <alignment horizontal="center" vertical="center" wrapText="1"/>
    </xf>
    <xf numFmtId="176" fontId="7" fillId="2" borderId="0" xfId="1" applyFont="1" applyFill="1" applyBorder="1" applyAlignment="1">
      <alignment horizontal="center" vertical="center" wrapText="1"/>
    </xf>
    <xf numFmtId="176" fontId="7" fillId="2" borderId="49" xfId="1" applyFont="1" applyFill="1" applyBorder="1" applyAlignment="1">
      <alignment horizontal="center" vertical="center" wrapText="1"/>
    </xf>
    <xf numFmtId="176" fontId="7" fillId="2" borderId="0" xfId="1" applyFont="1" applyFill="1" applyBorder="1" applyAlignment="1">
      <alignment horizontal="left" vertical="center" wrapText="1"/>
    </xf>
    <xf numFmtId="176" fontId="6" fillId="4" borderId="49" xfId="1" applyFont="1" applyFill="1" applyBorder="1" applyAlignment="1">
      <alignment vertical="center" wrapText="1"/>
    </xf>
    <xf numFmtId="176" fontId="7" fillId="2" borderId="93" xfId="1" applyFont="1" applyFill="1" applyBorder="1" applyAlignment="1">
      <alignment horizontal="center" vertical="center" wrapText="1"/>
    </xf>
    <xf numFmtId="1" fontId="5" fillId="0" borderId="94" xfId="56" applyNumberFormat="1" applyFont="1" applyFill="1" applyBorder="1" applyAlignment="1">
      <alignment horizontal="center" vertical="center" wrapText="1"/>
    </xf>
    <xf numFmtId="176" fontId="7" fillId="2" borderId="94" xfId="1" applyFont="1" applyFill="1" applyBorder="1" applyAlignment="1">
      <alignment horizontal="left" vertical="center" wrapText="1"/>
    </xf>
    <xf numFmtId="176" fontId="7" fillId="2" borderId="95" xfId="1" applyFont="1" applyFill="1" applyBorder="1" applyAlignment="1">
      <alignment horizontal="center" vertical="center" wrapText="1"/>
    </xf>
    <xf numFmtId="1" fontId="10" fillId="0" borderId="93" xfId="1" applyNumberFormat="1" applyFont="1" applyFill="1" applyBorder="1" applyAlignment="1">
      <alignment horizontal="center" vertical="center" wrapText="1"/>
    </xf>
    <xf numFmtId="1" fontId="10" fillId="0" borderId="94" xfId="1" applyNumberFormat="1" applyFont="1" applyFill="1" applyBorder="1" applyAlignment="1">
      <alignment horizontal="center" vertical="center" wrapText="1"/>
    </xf>
    <xf numFmtId="1" fontId="7" fillId="0" borderId="94" xfId="0" applyNumberFormat="1" applyFont="1" applyBorder="1" applyAlignment="1">
      <alignment horizontal="left" vertical="center" wrapText="1"/>
    </xf>
    <xf numFmtId="176" fontId="6" fillId="0" borderId="95" xfId="1" applyFont="1" applyFill="1" applyBorder="1" applyAlignment="1">
      <alignment horizontal="center" vertical="center" wrapText="1"/>
    </xf>
    <xf numFmtId="176" fontId="6" fillId="2" borderId="95" xfId="1" applyFont="1" applyFill="1" applyBorder="1" applyAlignment="1">
      <alignment horizontal="center" vertical="center" wrapText="1"/>
    </xf>
    <xf numFmtId="1" fontId="7" fillId="0" borderId="94" xfId="0" applyNumberFormat="1" applyFont="1" applyBorder="1" applyAlignment="1">
      <alignment horizontal="center" vertical="center" wrapText="1"/>
    </xf>
    <xf numFmtId="191" fontId="6" fillId="2" borderId="95" xfId="1" applyNumberFormat="1" applyFont="1" applyFill="1" applyBorder="1" applyAlignment="1">
      <alignment horizontal="center" vertical="center" wrapText="1"/>
    </xf>
    <xf numFmtId="1" fontId="7" fillId="0" borderId="94" xfId="0" applyNumberFormat="1" applyFont="1" applyBorder="1" applyAlignment="1">
      <alignment horizontal="left" vertical="center"/>
    </xf>
    <xf numFmtId="192" fontId="15" fillId="4" borderId="95" xfId="1" applyNumberFormat="1" applyFont="1" applyFill="1" applyBorder="1" applyAlignment="1">
      <alignment horizontal="center" vertical="center" wrapText="1"/>
    </xf>
    <xf numFmtId="176" fontId="7" fillId="2" borderId="96" xfId="1" applyFont="1" applyFill="1" applyBorder="1" applyAlignment="1">
      <alignment horizontal="center" vertical="center" wrapText="1"/>
    </xf>
    <xf numFmtId="176" fontId="7" fillId="2" borderId="39" xfId="1" applyFont="1" applyFill="1" applyBorder="1" applyAlignment="1">
      <alignment horizontal="left" vertical="center" wrapText="1"/>
    </xf>
    <xf numFmtId="176" fontId="7" fillId="2" borderId="97" xfId="1" applyFont="1" applyFill="1" applyBorder="1" applyAlignment="1">
      <alignment horizontal="center" vertical="center" wrapText="1"/>
    </xf>
    <xf numFmtId="1" fontId="10" fillId="2" borderId="45" xfId="1" applyNumberFormat="1" applyFont="1" applyFill="1" applyBorder="1" applyAlignment="1">
      <alignment horizontal="center" vertical="center" wrapText="1"/>
    </xf>
    <xf numFmtId="1" fontId="10" fillId="2" borderId="9" xfId="1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32" xfId="0" applyFont="1" applyFill="1" applyBorder="1" applyAlignment="1">
      <alignment vertical="center" wrapText="1"/>
    </xf>
    <xf numFmtId="176" fontId="10" fillId="2" borderId="9" xfId="1" applyFont="1" applyFill="1" applyBorder="1" applyAlignment="1">
      <alignment horizontal="center" vertical="center" wrapText="1"/>
    </xf>
    <xf numFmtId="1" fontId="7" fillId="2" borderId="9" xfId="1" applyNumberFormat="1" applyFont="1" applyFill="1" applyBorder="1" applyAlignment="1">
      <alignment horizontal="center" vertical="center" wrapText="1"/>
    </xf>
    <xf numFmtId="1" fontId="7" fillId="2" borderId="30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7" fillId="2" borderId="32" xfId="0" applyNumberFormat="1" applyFont="1" applyFill="1" applyBorder="1" applyAlignment="1">
      <alignment horizontal="center" vertical="center" wrapText="1"/>
    </xf>
    <xf numFmtId="176" fontId="7" fillId="2" borderId="9" xfId="1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vertical="center" wrapText="1"/>
    </xf>
    <xf numFmtId="1" fontId="7" fillId="2" borderId="9" xfId="0" applyNumberFormat="1" applyFont="1" applyFill="1" applyBorder="1" applyAlignment="1">
      <alignment vertical="center" wrapText="1"/>
    </xf>
    <xf numFmtId="176" fontId="6" fillId="4" borderId="98" xfId="1" applyFont="1" applyFill="1" applyBorder="1" applyAlignment="1">
      <alignment horizontal="center" vertical="center" wrapText="1"/>
    </xf>
    <xf numFmtId="1" fontId="10" fillId="2" borderId="6" xfId="1" applyNumberFormat="1" applyFont="1" applyFill="1" applyBorder="1" applyAlignment="1">
      <alignment horizontal="left" vertical="center" wrapText="1"/>
    </xf>
    <xf numFmtId="1" fontId="10" fillId="2" borderId="99" xfId="1" applyNumberFormat="1" applyFont="1" applyFill="1" applyBorder="1" applyAlignment="1">
      <alignment horizontal="center" vertical="center" wrapText="1"/>
    </xf>
    <xf numFmtId="1" fontId="10" fillId="0" borderId="9" xfId="1" applyNumberFormat="1" applyFont="1" applyFill="1" applyBorder="1" applyAlignment="1">
      <alignment horizontal="center" vertical="center" wrapText="1"/>
    </xf>
    <xf numFmtId="176" fontId="7" fillId="0" borderId="9" xfId="0" applyNumberFormat="1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176" fontId="7" fillId="0" borderId="100" xfId="1" applyFont="1" applyFill="1" applyBorder="1" applyAlignment="1">
      <alignment horizontal="center" vertical="center" wrapText="1"/>
    </xf>
    <xf numFmtId="1" fontId="7" fillId="0" borderId="30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32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1" fontId="7" fillId="0" borderId="30" xfId="0" applyNumberFormat="1" applyFont="1" applyBorder="1" applyAlignment="1">
      <alignment vertical="center" wrapText="1"/>
    </xf>
    <xf numFmtId="1" fontId="7" fillId="0" borderId="92" xfId="56" applyNumberFormat="1" applyFont="1" applyFill="1" applyBorder="1" applyAlignment="1">
      <alignment horizontal="right" vertical="center" wrapText="1"/>
    </xf>
    <xf numFmtId="1" fontId="7" fillId="0" borderId="0" xfId="56" applyNumberFormat="1" applyFont="1" applyFill="1" applyBorder="1" applyAlignment="1">
      <alignment horizontal="right" vertical="center" wrapText="1"/>
    </xf>
    <xf numFmtId="0" fontId="6" fillId="0" borderId="92" xfId="0" applyFont="1" applyBorder="1" applyAlignment="1">
      <alignment horizontal="center"/>
    </xf>
    <xf numFmtId="0" fontId="7" fillId="0" borderId="15" xfId="0" applyFont="1" applyBorder="1" applyAlignment="1">
      <alignment horizontal="center" vertical="distributed"/>
    </xf>
    <xf numFmtId="0" fontId="7" fillId="0" borderId="0" xfId="0" applyFont="1" applyAlignment="1">
      <alignment vertical="distributed"/>
    </xf>
    <xf numFmtId="0" fontId="7" fillId="0" borderId="0" xfId="0" applyFont="1" applyAlignment="1">
      <alignment horizontal="center" vertical="distributed"/>
    </xf>
    <xf numFmtId="0" fontId="7" fillId="0" borderId="92" xfId="0" applyFont="1" applyBorder="1" applyAlignment="1">
      <alignment horizontal="center"/>
    </xf>
    <xf numFmtId="0" fontId="7" fillId="0" borderId="0" xfId="0" applyFont="1" applyAlignment="1">
      <alignment horizontal="justify" vertical="distributed"/>
    </xf>
    <xf numFmtId="0" fontId="7" fillId="0" borderId="101" xfId="0" applyFont="1" applyBorder="1" applyAlignment="1">
      <alignment horizontal="center"/>
    </xf>
    <xf numFmtId="0" fontId="7" fillId="0" borderId="102" xfId="0" applyFont="1" applyBorder="1"/>
    <xf numFmtId="0" fontId="7" fillId="0" borderId="103" xfId="0" applyFont="1" applyBorder="1"/>
    <xf numFmtId="0" fontId="5" fillId="3" borderId="0" xfId="0" applyFont="1" applyFill="1"/>
    <xf numFmtId="0" fontId="5" fillId="4" borderId="0" xfId="0" applyFont="1" applyFill="1"/>
    <xf numFmtId="0" fontId="5" fillId="2" borderId="0" xfId="0" applyFont="1" applyFill="1"/>
    <xf numFmtId="0" fontId="5" fillId="0" borderId="0" xfId="0" applyFont="1"/>
    <xf numFmtId="0" fontId="5" fillId="0" borderId="0" xfId="0" applyFont="1" applyAlignment="1">
      <alignment wrapText="1"/>
    </xf>
    <xf numFmtId="0" fontId="16" fillId="0" borderId="3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1" fontId="4" fillId="0" borderId="41" xfId="0" applyNumberFormat="1" applyFont="1" applyBorder="1" applyAlignment="1">
      <alignment horizontal="center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6" fillId="0" borderId="32" xfId="0" applyFont="1" applyBorder="1" applyAlignment="1">
      <alignment horizontal="left" vertical="top"/>
    </xf>
    <xf numFmtId="0" fontId="16" fillId="0" borderId="3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0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32" xfId="0" applyFont="1" applyBorder="1" applyAlignment="1">
      <alignment horizontal="left" vertical="top" wrapText="1"/>
    </xf>
    <xf numFmtId="0" fontId="16" fillId="0" borderId="33" xfId="50" applyFont="1" applyBorder="1" applyAlignment="1">
      <alignment horizontal="left" vertical="center" wrapText="1"/>
    </xf>
    <xf numFmtId="0" fontId="16" fillId="0" borderId="34" xfId="50" applyFont="1" applyBorder="1" applyAlignment="1">
      <alignment horizontal="left" vertical="center" wrapText="1"/>
    </xf>
    <xf numFmtId="0" fontId="16" fillId="0" borderId="31" xfId="50" applyFont="1" applyBorder="1" applyAlignment="1">
      <alignment horizontal="left" vertical="center" wrapText="1"/>
    </xf>
    <xf numFmtId="0" fontId="16" fillId="0" borderId="9" xfId="0" applyFont="1" applyBorder="1" applyAlignment="1">
      <alignment vertical="center"/>
    </xf>
    <xf numFmtId="10" fontId="16" fillId="0" borderId="9" xfId="0" applyNumberFormat="1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 wrapText="1"/>
    </xf>
    <xf numFmtId="0" fontId="16" fillId="0" borderId="39" xfId="50" applyFont="1" applyBorder="1" applyAlignment="1">
      <alignment horizontal="left" vertical="center" wrapText="1"/>
    </xf>
    <xf numFmtId="0" fontId="16" fillId="0" borderId="40" xfId="50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41" xfId="0" applyFont="1" applyBorder="1" applyAlignment="1">
      <alignment horizontal="center" vertical="center"/>
    </xf>
    <xf numFmtId="0" fontId="16" fillId="0" borderId="41" xfId="0" applyFont="1" applyBorder="1" applyAlignment="1">
      <alignment horizontal="left" vertical="center"/>
    </xf>
    <xf numFmtId="10" fontId="16" fillId="0" borderId="9" xfId="0" applyNumberFormat="1" applyFont="1" applyBorder="1" applyAlignment="1">
      <alignment horizontal="center" vertical="center"/>
    </xf>
    <xf numFmtId="10" fontId="16" fillId="0" borderId="30" xfId="3" applyNumberFormat="1" applyFont="1" applyBorder="1" applyAlignment="1">
      <alignment horizontal="left" vertical="center" wrapText="1"/>
    </xf>
    <xf numFmtId="10" fontId="16" fillId="0" borderId="32" xfId="3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177" fontId="4" fillId="3" borderId="9" xfId="2" applyFont="1" applyFill="1" applyBorder="1" applyAlignment="1">
      <alignment horizontal="center" vertical="center" wrapText="1"/>
    </xf>
    <xf numFmtId="180" fontId="5" fillId="3" borderId="0" xfId="0" applyNumberFormat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/>
    </xf>
    <xf numFmtId="177" fontId="4" fillId="4" borderId="9" xfId="2" applyFont="1" applyFill="1" applyBorder="1" applyAlignment="1">
      <alignment horizontal="center" vertical="center" wrapText="1"/>
    </xf>
    <xf numFmtId="180" fontId="5" fillId="4" borderId="0" xfId="0" applyNumberFormat="1" applyFont="1" applyFill="1"/>
    <xf numFmtId="1" fontId="5" fillId="0" borderId="9" xfId="56" applyNumberFormat="1" applyFont="1" applyFill="1" applyBorder="1" applyAlignment="1">
      <alignment horizontal="left" vertical="center" wrapText="1"/>
    </xf>
    <xf numFmtId="2" fontId="5" fillId="0" borderId="9" xfId="56" applyNumberFormat="1" applyFont="1" applyFill="1" applyBorder="1" applyAlignment="1">
      <alignment horizontal="center" vertical="center" wrapText="1"/>
    </xf>
    <xf numFmtId="177" fontId="5" fillId="0" borderId="9" xfId="2" applyFont="1" applyFill="1" applyBorder="1" applyAlignment="1">
      <alignment horizontal="center" vertical="center" wrapText="1"/>
    </xf>
    <xf numFmtId="180" fontId="5" fillId="0" borderId="0" xfId="0" applyNumberFormat="1" applyFont="1"/>
    <xf numFmtId="193" fontId="5" fillId="0" borderId="9" xfId="56" applyNumberFormat="1" applyFont="1" applyFill="1" applyBorder="1" applyAlignment="1">
      <alignment horizontal="center" vertical="center" wrapText="1"/>
    </xf>
    <xf numFmtId="194" fontId="5" fillId="0" borderId="0" xfId="0" applyNumberFormat="1" applyFont="1"/>
    <xf numFmtId="177" fontId="5" fillId="0" borderId="9" xfId="2" applyNumberFormat="1" applyFont="1" applyFill="1" applyBorder="1" applyAlignment="1">
      <alignment horizontal="center" vertical="center" wrapText="1"/>
    </xf>
    <xf numFmtId="1" fontId="17" fillId="0" borderId="9" xfId="56" applyNumberFormat="1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1" fontId="5" fillId="2" borderId="9" xfId="56" applyNumberFormat="1" applyFont="1" applyFill="1" applyBorder="1" applyAlignment="1">
      <alignment horizontal="left" vertical="center" wrapText="1"/>
    </xf>
    <xf numFmtId="2" fontId="5" fillId="2" borderId="9" xfId="56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" fontId="17" fillId="2" borderId="9" xfId="56" applyNumberFormat="1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184" fontId="17" fillId="2" borderId="9" xfId="0" applyNumberFormat="1" applyFont="1" applyFill="1" applyBorder="1" applyAlignment="1">
      <alignment horizontal="center" vertical="center" wrapText="1"/>
    </xf>
    <xf numFmtId="184" fontId="5" fillId="2" borderId="9" xfId="0" applyNumberFormat="1" applyFont="1" applyFill="1" applyBorder="1" applyAlignment="1">
      <alignment horizontal="center" vertical="center" wrapText="1"/>
    </xf>
    <xf numFmtId="183" fontId="5" fillId="2" borderId="9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 vertical="center" wrapText="1"/>
    </xf>
    <xf numFmtId="1" fontId="5" fillId="0" borderId="30" xfId="56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" fontId="5" fillId="0" borderId="32" xfId="56" applyNumberFormat="1" applyFont="1" applyFill="1" applyBorder="1" applyAlignment="1">
      <alignment horizontal="center" vertical="center" wrapText="1"/>
    </xf>
    <xf numFmtId="184" fontId="5" fillId="0" borderId="9" xfId="56" applyNumberFormat="1" applyFont="1" applyFill="1" applyBorder="1" applyAlignment="1">
      <alignment horizontal="center" vertical="center" wrapText="1"/>
    </xf>
    <xf numFmtId="177" fontId="4" fillId="4" borderId="30" xfId="2" applyFont="1" applyFill="1" applyBorder="1" applyAlignment="1">
      <alignment horizontal="right" vertical="center" wrapText="1"/>
    </xf>
    <xf numFmtId="177" fontId="4" fillId="4" borderId="6" xfId="2" applyFont="1" applyFill="1" applyBorder="1" applyAlignment="1">
      <alignment horizontal="right" vertical="center" wrapText="1"/>
    </xf>
    <xf numFmtId="177" fontId="4" fillId="4" borderId="32" xfId="2" applyFont="1" applyFill="1" applyBorder="1" applyAlignment="1">
      <alignment horizontal="right" vertical="center" wrapText="1"/>
    </xf>
    <xf numFmtId="1" fontId="5" fillId="0" borderId="35" xfId="56" applyNumberFormat="1" applyFont="1" applyFill="1" applyBorder="1" applyAlignment="1">
      <alignment horizontal="right" vertical="center" wrapText="1"/>
    </xf>
    <xf numFmtId="1" fontId="5" fillId="0" borderId="0" xfId="56" applyNumberFormat="1" applyFont="1" applyFill="1" applyBorder="1" applyAlignment="1">
      <alignment horizontal="right" vertical="center" wrapText="1"/>
    </xf>
    <xf numFmtId="177" fontId="5" fillId="0" borderId="36" xfId="2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/>
    </xf>
    <xf numFmtId="0" fontId="5" fillId="0" borderId="15" xfId="0" applyFont="1" applyBorder="1" applyAlignment="1">
      <alignment horizontal="center" vertical="distributed"/>
    </xf>
    <xf numFmtId="0" fontId="5" fillId="0" borderId="0" xfId="0" applyFont="1" applyAlignment="1">
      <alignment vertical="distributed"/>
    </xf>
    <xf numFmtId="0" fontId="5" fillId="0" borderId="0" xfId="0" applyFont="1" applyAlignment="1">
      <alignment horizontal="center" vertical="distributed"/>
    </xf>
    <xf numFmtId="0" fontId="5" fillId="0" borderId="36" xfId="0" applyFont="1" applyBorder="1"/>
    <xf numFmtId="0" fontId="5" fillId="0" borderId="18" xfId="0" applyFont="1" applyBorder="1" applyAlignment="1">
      <alignment horizontal="center" vertical="distributed"/>
    </xf>
    <xf numFmtId="0" fontId="5" fillId="0" borderId="0" xfId="0" applyFont="1" applyAlignment="1">
      <alignment horizontal="justify" vertical="distributed"/>
    </xf>
    <xf numFmtId="0" fontId="5" fillId="0" borderId="38" xfId="0" applyFont="1" applyBorder="1" applyAlignment="1">
      <alignment horizontal="center"/>
    </xf>
    <xf numFmtId="0" fontId="5" fillId="0" borderId="39" xfId="0" applyFont="1" applyBorder="1"/>
    <xf numFmtId="0" fontId="5" fillId="0" borderId="40" xfId="0" applyFont="1" applyBorder="1"/>
    <xf numFmtId="0" fontId="13" fillId="0" borderId="0" xfId="0" applyFont="1"/>
  </cellXfs>
  <cellStyles count="5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10" xfId="49"/>
    <cellStyle name="Normal 2" xfId="50"/>
    <cellStyle name="Normal 2 3" xfId="51"/>
    <cellStyle name="Normal 3" xfId="52"/>
    <cellStyle name="Porcentagem 2" xfId="53"/>
    <cellStyle name="Separador de milhares 2" xfId="54"/>
    <cellStyle name="Vírgula 2" xfId="55"/>
    <cellStyle name="Vírgula 2 3 15" xfId="56"/>
    <cellStyle name="Vírgula 3" xfId="57"/>
    <cellStyle name="Vírgula 3 2" xfId="58"/>
  </cellStyles>
  <dxfs count="4">
    <dxf>
      <font>
        <b val="0"/>
        <color indexed="44"/>
      </font>
    </dxf>
    <dxf>
      <font>
        <color auto="1"/>
      </font>
      <fill>
        <patternFill patternType="solid">
          <bgColor indexed="10"/>
        </patternFill>
      </fill>
    </dxf>
    <dxf>
      <font>
        <color indexed="9"/>
      </font>
    </dxf>
    <dxf>
      <font>
        <b val="1"/>
        <i val="0"/>
        <color indexed="10"/>
      </font>
    </dxf>
  </dxfs>
  <tableStyles count="0" defaultTableStyle="TableStyleMedium9" defaultPivotStyle="PivotStyleLight16"/>
  <colors>
    <mruColors>
      <color rgb="009BCAC9"/>
      <color rgb="00009999"/>
      <color rgb="00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461385</xdr:colOff>
      <xdr:row>0</xdr:row>
      <xdr:rowOff>6436</xdr:rowOff>
    </xdr:from>
    <xdr:to>
      <xdr:col>8</xdr:col>
      <xdr:colOff>822859</xdr:colOff>
      <xdr:row>0</xdr:row>
      <xdr:rowOff>622845</xdr:rowOff>
    </xdr:to>
    <xdr:pic>
      <xdr:nvPicPr>
        <xdr:cNvPr id="3" name="Imagem 2" descr="Logomarcas horizontal PMJM 2025 a 2028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33540" y="6350"/>
          <a:ext cx="1894840" cy="615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543547</xdr:colOff>
      <xdr:row>0</xdr:row>
      <xdr:rowOff>1</xdr:rowOff>
    </xdr:from>
    <xdr:to>
      <xdr:col>9</xdr:col>
      <xdr:colOff>290664</xdr:colOff>
      <xdr:row>1</xdr:row>
      <xdr:rowOff>8495</xdr:rowOff>
    </xdr:to>
    <xdr:pic>
      <xdr:nvPicPr>
        <xdr:cNvPr id="3" name="Imagem 2" descr="Logomarcas horizontal PMJM 2025 a 2028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302885" y="0"/>
          <a:ext cx="1635760" cy="5321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381000</xdr:colOff>
      <xdr:row>0</xdr:row>
      <xdr:rowOff>10026</xdr:rowOff>
    </xdr:from>
    <xdr:to>
      <xdr:col>9</xdr:col>
      <xdr:colOff>902015</xdr:colOff>
      <xdr:row>1</xdr:row>
      <xdr:rowOff>26360</xdr:rowOff>
    </xdr:to>
    <xdr:pic>
      <xdr:nvPicPr>
        <xdr:cNvPr id="3" name="Imagem 2" descr="Logomarcas horizontal PMJM 2025 a 2028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05925" y="9525"/>
          <a:ext cx="1901825" cy="616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200828</xdr:colOff>
      <xdr:row>0</xdr:row>
      <xdr:rowOff>22952</xdr:rowOff>
    </xdr:from>
    <xdr:to>
      <xdr:col>6</xdr:col>
      <xdr:colOff>832374</xdr:colOff>
      <xdr:row>1</xdr:row>
      <xdr:rowOff>2448</xdr:rowOff>
    </xdr:to>
    <xdr:pic>
      <xdr:nvPicPr>
        <xdr:cNvPr id="3" name="Imagem 2" descr="Logomarcas horizontal PMJM 2025 a 2028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15560" y="22860"/>
          <a:ext cx="1898015" cy="6172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736407</xdr:colOff>
      <xdr:row>0</xdr:row>
      <xdr:rowOff>105146</xdr:rowOff>
    </xdr:from>
    <xdr:to>
      <xdr:col>3</xdr:col>
      <xdr:colOff>865909</xdr:colOff>
      <xdr:row>0</xdr:row>
      <xdr:rowOff>462264</xdr:rowOff>
    </xdr:to>
    <xdr:pic>
      <xdr:nvPicPr>
        <xdr:cNvPr id="4" name="Imagem 3" descr="Logomarcas horizontal PMJM 2025 a 2028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850640" y="104775"/>
          <a:ext cx="1101090" cy="3568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20</xdr:col>
      <xdr:colOff>145256</xdr:colOff>
      <xdr:row>23</xdr:row>
      <xdr:rowOff>64293</xdr:rowOff>
    </xdr:to>
    <xdr:pic>
      <xdr:nvPicPr>
        <xdr:cNvPr id="2" name="Imagem 1"/>
        <xdr:cNvPicPr>
          <a:picLocks noChangeAspect="1"/>
        </xdr:cNvPicPr>
      </xdr:nvPicPr>
      <xdr:blipFill>
        <a:blip r:embed="rId1"/>
        <a:srcRect l="52819" t="44292" r="3282" b="15543"/>
        <a:stretch>
          <a:fillRect/>
        </a:stretch>
      </xdr:blipFill>
      <xdr:spPr>
        <a:xfrm>
          <a:off x="600075" y="323850"/>
          <a:ext cx="11546205" cy="34645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125095</xdr:colOff>
      <xdr:row>6</xdr:row>
      <xdr:rowOff>111760</xdr:rowOff>
    </xdr:from>
    <xdr:to>
      <xdr:col>12</xdr:col>
      <xdr:colOff>252730</xdr:colOff>
      <xdr:row>33</xdr:row>
      <xdr:rowOff>86995</xdr:rowOff>
    </xdr:to>
    <xdr:pic>
      <xdr:nvPicPr>
        <xdr:cNvPr id="3" name="Imagem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095" y="1083310"/>
          <a:ext cx="7442835" cy="434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17</xdr:row>
      <xdr:rowOff>114300</xdr:rowOff>
    </xdr:from>
    <xdr:to>
      <xdr:col>21</xdr:col>
      <xdr:colOff>559435</xdr:colOff>
      <xdr:row>39</xdr:row>
      <xdr:rowOff>85725</xdr:rowOff>
    </xdr:to>
    <xdr:pic>
      <xdr:nvPicPr>
        <xdr:cNvPr id="4" name="Imagem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77150" y="2867025"/>
          <a:ext cx="5683885" cy="353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447040</xdr:colOff>
      <xdr:row>42</xdr:row>
      <xdr:rowOff>133350</xdr:rowOff>
    </xdr:from>
    <xdr:to>
      <xdr:col>24</xdr:col>
      <xdr:colOff>104775</xdr:colOff>
      <xdr:row>69</xdr:row>
      <xdr:rowOff>127635</xdr:rowOff>
    </xdr:to>
    <xdr:pic>
      <xdr:nvPicPr>
        <xdr:cNvPr id="5" name="Imagem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62240" y="6934200"/>
          <a:ext cx="6972935" cy="4366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Jo&#227;o%20Paulo%20-%202024\S&#227;o%20Domingos%20do%20Prata\Ponte%20Bairro%20Cutucum\PM%203.0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personal\joaopaulorodrigues_fcjengenharia_onmicrosoft_com\Documents\JP\Projetos\PM%20Dion&#237;sio\PM%20Dion&#237;sio\Defesa%20Civil\2023\Ponte%20Santa%20Cruz\Nova%20pasta\PLANILHA%20PONTE%20SANTA%20CRUZ%2015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SINAPI\PLANILHA_MULTIPLA_V3_05\PLANILHA_MULTIPLA_V3_05\PLANILHA%20M&#218;LTIPLA%20V3.0.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liente\Documents\Jo&#227;o%20Paulo%202025\Jo&#227;o%20Monlevade\Projeto%20casa%20unifamiliar\Planilha\PM%203.1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E2FC64\Refer&#234;ncia%2004-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1"/>
      <sheetName val="OFÍCIO 2"/>
      <sheetName val="Plan1"/>
    </sheetNames>
    <sheetDataSet>
      <sheetData sheetId="0">
        <row r="3">
          <cell r="O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VO"/>
      <sheetName val="MENU"/>
      <sheetName val="DADOS"/>
      <sheetName val="BDI"/>
      <sheetName val="ORÇAMENTO"/>
      <sheetName val="EVENTOS"/>
      <sheetName val="CÁLCULO"/>
      <sheetName val="CRONOPLE"/>
      <sheetName val="CRONO"/>
      <sheetName val="QCI"/>
      <sheetName val="PLE"/>
      <sheetName val="BM"/>
      <sheetName val="RRE"/>
      <sheetName val="OFÍCIO"/>
      <sheetName val="PO-PLE"/>
      <sheetName val="CFF-PLE"/>
      <sheetName val="PO-BM"/>
      <sheetName val="CFF-B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utorial"/>
      <sheetName val="Banco"/>
      <sheetName val="Composições"/>
      <sheetName val="Cotações"/>
      <sheetName val="Relatórios"/>
      <sheetName val="Busc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tabSelected="1" view="pageBreakPreview" zoomScale="153" zoomScaleNormal="100" topLeftCell="A25" workbookViewId="0">
      <selection activeCell="C31" sqref="C31"/>
    </sheetView>
  </sheetViews>
  <sheetFormatPr defaultColWidth="9" defaultRowHeight="13.5"/>
  <cols>
    <col min="1" max="1" width="9.14285714285714" style="435"/>
    <col min="2" max="2" width="11.1428571428571" style="435" customWidth="1"/>
    <col min="3" max="3" width="11.2190476190476" style="435" customWidth="1"/>
    <col min="4" max="4" width="53.4285714285714" style="436" customWidth="1"/>
    <col min="5" max="5" width="9.14285714285714" style="435"/>
    <col min="6" max="6" width="10.5714285714286" style="435" customWidth="1"/>
    <col min="7" max="7" width="12.4285714285714" style="435" customWidth="1"/>
    <col min="8" max="8" width="20.8571428571429" style="435" hidden="1" customWidth="1"/>
    <col min="9" max="9" width="13.5714285714286" style="435" customWidth="1"/>
    <col min="10" max="10" width="15.1142857142857" style="435" customWidth="1"/>
    <col min="11" max="11" width="13.4285714285714" style="435"/>
    <col min="12" max="13" width="11.2857142857143" style="435" customWidth="1"/>
    <col min="14" max="16384" width="9.14285714285714" style="435"/>
  </cols>
  <sheetData>
    <row r="1" ht="53.25" customHeight="1" spans="1:13">
      <c r="A1" s="437" t="s">
        <v>0</v>
      </c>
      <c r="B1" s="438"/>
      <c r="C1" s="438"/>
      <c r="D1" s="438"/>
      <c r="E1" s="438"/>
      <c r="F1" s="438"/>
      <c r="G1" s="438"/>
      <c r="H1" s="438"/>
      <c r="I1" s="438"/>
      <c r="J1" s="439"/>
    </row>
    <row r="2" ht="6" customHeight="1" spans="1:13">
      <c r="A2" s="437"/>
      <c r="B2" s="438"/>
      <c r="C2" s="438"/>
      <c r="D2" s="438"/>
      <c r="E2" s="438"/>
      <c r="F2" s="438"/>
      <c r="G2" s="438"/>
      <c r="H2" s="438"/>
      <c r="I2" s="438"/>
      <c r="J2" s="440"/>
    </row>
    <row r="3" customHeight="1" spans="1:13">
      <c r="A3" s="441" t="s">
        <v>1</v>
      </c>
      <c r="B3" s="441"/>
      <c r="C3" s="441"/>
      <c r="D3" s="441"/>
      <c r="E3" s="441"/>
      <c r="F3" s="441"/>
      <c r="G3" s="441"/>
      <c r="H3" s="441"/>
      <c r="I3" s="441"/>
      <c r="J3" s="441"/>
    </row>
    <row r="4" ht="6" customHeight="1" spans="1:13">
      <c r="A4" s="437"/>
      <c r="B4" s="438"/>
      <c r="C4" s="438"/>
      <c r="D4" s="438"/>
      <c r="E4" s="438"/>
      <c r="F4" s="438"/>
      <c r="G4" s="438"/>
      <c r="H4" s="438"/>
      <c r="I4" s="438"/>
      <c r="J4" s="440"/>
    </row>
    <row r="5" spans="1:13">
      <c r="A5" s="442" t="s">
        <v>2</v>
      </c>
      <c r="B5" s="443"/>
      <c r="C5" s="443"/>
      <c r="D5" s="443"/>
      <c r="E5" s="443"/>
      <c r="F5" s="443"/>
      <c r="G5" s="443"/>
      <c r="H5" s="443"/>
      <c r="I5" s="443"/>
      <c r="J5" s="444"/>
    </row>
    <row r="6" customHeight="1" spans="1:13">
      <c r="A6" s="445" t="s">
        <v>3</v>
      </c>
      <c r="B6" s="446"/>
      <c r="C6" s="446"/>
      <c r="D6" s="446"/>
      <c r="E6" s="446"/>
      <c r="F6" s="447"/>
      <c r="G6" s="448"/>
      <c r="H6" s="449"/>
      <c r="I6" s="449"/>
      <c r="J6" s="450"/>
    </row>
    <row r="7" ht="15.75" customHeight="1" spans="1:13">
      <c r="A7" s="451" t="s">
        <v>4</v>
      </c>
      <c r="B7" s="452"/>
      <c r="C7" s="452"/>
      <c r="D7" s="452"/>
      <c r="E7" s="452"/>
      <c r="F7" s="453"/>
      <c r="G7" s="448" t="s">
        <v>5</v>
      </c>
      <c r="H7" s="449"/>
      <c r="I7" s="449"/>
      <c r="J7" s="450"/>
    </row>
    <row r="8" ht="12.75" customHeight="1" spans="1:13">
      <c r="A8" s="454" t="s">
        <v>6</v>
      </c>
      <c r="B8" s="455"/>
      <c r="C8" s="455"/>
      <c r="D8" s="456"/>
      <c r="E8" s="457" t="s">
        <v>7</v>
      </c>
      <c r="F8" s="458">
        <v>0.05</v>
      </c>
      <c r="G8" s="448" t="s">
        <v>8</v>
      </c>
      <c r="H8" s="449"/>
      <c r="I8" s="449"/>
      <c r="J8" s="450"/>
    </row>
    <row r="9" spans="1:13">
      <c r="A9" s="459"/>
      <c r="B9" s="460"/>
      <c r="C9" s="460"/>
      <c r="D9" s="461"/>
      <c r="E9" s="462" t="s">
        <v>9</v>
      </c>
      <c r="F9" s="463" t="s">
        <v>10</v>
      </c>
      <c r="G9" s="448" t="s">
        <v>11</v>
      </c>
      <c r="H9" s="449"/>
      <c r="I9" s="449"/>
      <c r="J9" s="450"/>
    </row>
    <row r="10" spans="1:13">
      <c r="A10" s="464" t="s">
        <v>12</v>
      </c>
      <c r="B10" s="465"/>
      <c r="C10" s="465"/>
      <c r="D10" s="466"/>
      <c r="E10" s="467"/>
      <c r="F10" s="468"/>
      <c r="G10" s="457" t="s">
        <v>13</v>
      </c>
      <c r="H10" s="469">
        <v>0.2793</v>
      </c>
      <c r="I10" s="470">
        <f>BDI!D24</f>
        <v>0.2474</v>
      </c>
      <c r="J10" s="471"/>
    </row>
    <row r="11" ht="27" spans="1:13">
      <c r="A11" s="472" t="s">
        <v>14</v>
      </c>
      <c r="B11" s="472" t="s">
        <v>15</v>
      </c>
      <c r="C11" s="472" t="s">
        <v>16</v>
      </c>
      <c r="D11" s="472" t="s">
        <v>17</v>
      </c>
      <c r="E11" s="473" t="s">
        <v>18</v>
      </c>
      <c r="F11" s="472" t="s">
        <v>19</v>
      </c>
      <c r="G11" s="472" t="str">
        <f>IF(TIPOORCAMENTO="Licitado","","Custo Unitário (sem BDI) (R$)")</f>
        <v>Custo Unitário (sem BDI) (R$)</v>
      </c>
      <c r="H11" s="472" t="str">
        <f>IF(TIPOORCAMENTO="Licitado","","BDI(%)")</f>
        <v>BDI(%)</v>
      </c>
      <c r="I11" s="472" t="s">
        <v>20</v>
      </c>
      <c r="J11" s="472" t="s">
        <v>21</v>
      </c>
    </row>
    <row r="12" s="432" customFormat="1" spans="1:13">
      <c r="A12" s="474"/>
      <c r="B12" s="474"/>
      <c r="C12" s="474"/>
      <c r="D12" s="475" t="s">
        <v>22</v>
      </c>
      <c r="E12" s="474"/>
      <c r="F12" s="474"/>
      <c r="G12" s="474"/>
      <c r="H12" s="474"/>
      <c r="I12" s="474"/>
      <c r="J12" s="476"/>
      <c r="L12" s="477"/>
    </row>
    <row r="13" s="433" customFormat="1" spans="1:13">
      <c r="A13" s="478">
        <v>1</v>
      </c>
      <c r="B13" s="478"/>
      <c r="C13" s="478"/>
      <c r="D13" s="479" t="s">
        <v>23</v>
      </c>
      <c r="E13" s="478"/>
      <c r="F13" s="478"/>
      <c r="G13" s="478"/>
      <c r="H13" s="478"/>
      <c r="I13" s="478"/>
      <c r="J13" s="480">
        <f>SUBTOTAL(9,J14)</f>
        <v>14220.6</v>
      </c>
      <c r="L13" s="481"/>
    </row>
    <row r="14" spans="1:13">
      <c r="A14" s="274" t="s">
        <v>24</v>
      </c>
      <c r="B14" s="274" t="s">
        <v>25</v>
      </c>
      <c r="C14" s="274" t="s">
        <v>26</v>
      </c>
      <c r="D14" s="482" t="s">
        <v>23</v>
      </c>
      <c r="E14" s="274" t="s">
        <v>27</v>
      </c>
      <c r="F14" s="483">
        <v>4</v>
      </c>
      <c r="G14" s="484">
        <f>Composição!G19</f>
        <v>2850.05</v>
      </c>
      <c r="H14" s="484" t="s">
        <v>28</v>
      </c>
      <c r="I14" s="484">
        <f>ROUND(G14*(1+$I$10),2)</f>
        <v>3555.15</v>
      </c>
      <c r="J14" s="484">
        <f>ROUND(I14*F14,2)</f>
        <v>14220.6</v>
      </c>
      <c r="L14" s="485"/>
      <c r="M14" s="485"/>
    </row>
    <row r="15" s="433" customFormat="1" spans="1:13">
      <c r="A15" s="478">
        <v>2</v>
      </c>
      <c r="B15" s="478"/>
      <c r="C15" s="478"/>
      <c r="D15" s="479" t="s">
        <v>29</v>
      </c>
      <c r="E15" s="478"/>
      <c r="F15" s="478"/>
      <c r="G15" s="478"/>
      <c r="H15" s="478"/>
      <c r="I15" s="478"/>
      <c r="J15" s="480">
        <f>SUBTOTAL(9,J16:J19)</f>
        <v>17496.7</v>
      </c>
    </row>
    <row r="16" ht="27" spans="1:13">
      <c r="A16" s="274" t="s">
        <v>30</v>
      </c>
      <c r="B16" s="274" t="s">
        <v>25</v>
      </c>
      <c r="C16" s="274" t="s">
        <v>31</v>
      </c>
      <c r="D16" s="482" t="s">
        <v>32</v>
      </c>
      <c r="E16" s="274" t="s">
        <v>33</v>
      </c>
      <c r="F16" s="486">
        <v>1</v>
      </c>
      <c r="G16" s="484">
        <v>2957.22</v>
      </c>
      <c r="H16" s="484" t="s">
        <v>28</v>
      </c>
      <c r="I16" s="484">
        <v>3688.84</v>
      </c>
      <c r="J16" s="484">
        <v>3688.84</v>
      </c>
      <c r="K16" s="487">
        <v>1229610.95</v>
      </c>
      <c r="L16" s="435">
        <f>J16</f>
        <v>3688.84</v>
      </c>
    </row>
    <row r="17" ht="27" spans="1:11">
      <c r="A17" s="274" t="s">
        <v>34</v>
      </c>
      <c r="B17" s="274" t="s">
        <v>25</v>
      </c>
      <c r="C17" s="274" t="s">
        <v>35</v>
      </c>
      <c r="D17" s="482" t="s">
        <v>36</v>
      </c>
      <c r="E17" s="274" t="s">
        <v>37</v>
      </c>
      <c r="F17" s="483">
        <v>4.5</v>
      </c>
      <c r="G17" s="484">
        <f>Composição!G10</f>
        <v>385.02</v>
      </c>
      <c r="H17" s="484" t="s">
        <v>28</v>
      </c>
      <c r="I17" s="484">
        <f>ROUND(G17*(1+$I$10),2)</f>
        <v>480.27</v>
      </c>
      <c r="J17" s="484">
        <f>ROUND(I17*F17,2)</f>
        <v>2161.22</v>
      </c>
      <c r="K17" s="487">
        <f>K16/1.2474</f>
        <v>985739.1</v>
      </c>
    </row>
    <row r="18" ht="54" spans="1:11">
      <c r="A18" s="274" t="s">
        <v>38</v>
      </c>
      <c r="B18" s="274" t="s">
        <v>25</v>
      </c>
      <c r="C18" s="274" t="s">
        <v>39</v>
      </c>
      <c r="D18" s="482" t="s">
        <v>40</v>
      </c>
      <c r="E18" s="274" t="s">
        <v>27</v>
      </c>
      <c r="F18" s="483">
        <v>4</v>
      </c>
      <c r="G18" s="484">
        <f>Composição!G23</f>
        <v>1284.18</v>
      </c>
      <c r="H18" s="484" t="s">
        <v>28</v>
      </c>
      <c r="I18" s="484">
        <f>ROUND(G18*(1+$I$10),2)</f>
        <v>1601.89</v>
      </c>
      <c r="J18" s="484">
        <f>ROUND(I18*F18,2)</f>
        <v>6407.56</v>
      </c>
      <c r="K18" s="487">
        <f>L16/1.2474</f>
        <v>2957.22</v>
      </c>
    </row>
    <row r="19" customFormat="1" ht="40.5" spans="1:11">
      <c r="A19" s="274" t="s">
        <v>41</v>
      </c>
      <c r="B19" s="273" t="s">
        <v>42</v>
      </c>
      <c r="C19" s="274" t="s">
        <v>43</v>
      </c>
      <c r="D19" s="482" t="s">
        <v>44</v>
      </c>
      <c r="E19" s="274" t="s">
        <v>27</v>
      </c>
      <c r="F19" s="483">
        <v>4</v>
      </c>
      <c r="G19" s="488">
        <v>1050</v>
      </c>
      <c r="H19" s="484"/>
      <c r="I19" s="484">
        <f>ROUND(G19*(1+$I$10),2)</f>
        <v>1309.77</v>
      </c>
      <c r="J19" s="484">
        <f>ROUND(I19*F19,2)</f>
        <v>5239.08</v>
      </c>
    </row>
    <row r="20" s="433" customFormat="1" spans="1:11">
      <c r="A20" s="478">
        <v>3</v>
      </c>
      <c r="B20" s="478"/>
      <c r="C20" s="478"/>
      <c r="D20" s="479" t="s">
        <v>45</v>
      </c>
      <c r="E20" s="478"/>
      <c r="F20" s="478"/>
      <c r="G20" s="478"/>
      <c r="H20" s="478"/>
      <c r="I20" s="478"/>
      <c r="J20" s="480">
        <f>SUM(J21:J27)</f>
        <v>561866.91</v>
      </c>
    </row>
    <row r="21" s="434" customFormat="1" spans="1:11">
      <c r="A21" s="128" t="s">
        <v>46</v>
      </c>
      <c r="B21" s="128" t="s">
        <v>47</v>
      </c>
      <c r="C21" s="274">
        <v>106167</v>
      </c>
      <c r="D21" s="489" t="s">
        <v>48</v>
      </c>
      <c r="E21" s="128" t="s">
        <v>37</v>
      </c>
      <c r="F21" s="128">
        <v>5429.08</v>
      </c>
      <c r="G21" s="130">
        <v>0.07</v>
      </c>
      <c r="H21" s="128"/>
      <c r="I21" s="484">
        <f t="shared" ref="I21:I27" si="0">ROUND(G21*(1+$I$10),2)</f>
        <v>0.09</v>
      </c>
      <c r="J21" s="130">
        <f t="shared" ref="J21:J27" si="1">I21*F21</f>
        <v>488.62</v>
      </c>
    </row>
    <row r="22" s="434" customFormat="1" spans="1:11">
      <c r="A22" s="128" t="s">
        <v>49</v>
      </c>
      <c r="B22" s="128" t="s">
        <v>50</v>
      </c>
      <c r="C22" s="128" t="s">
        <v>51</v>
      </c>
      <c r="D22" s="490" t="s">
        <v>52</v>
      </c>
      <c r="E22" s="128" t="s">
        <v>37</v>
      </c>
      <c r="F22" s="128">
        <v>5429.08</v>
      </c>
      <c r="G22" s="130">
        <v>2.28</v>
      </c>
      <c r="H22" s="128"/>
      <c r="I22" s="484">
        <f t="shared" si="0"/>
        <v>2.84</v>
      </c>
      <c r="J22" s="130">
        <f t="shared" si="1"/>
        <v>15418.59</v>
      </c>
    </row>
    <row r="23" s="434" customFormat="1" ht="40.5" spans="1:11">
      <c r="A23" s="273" t="s">
        <v>53</v>
      </c>
      <c r="B23" s="273" t="s">
        <v>47</v>
      </c>
      <c r="C23" s="128">
        <v>102330</v>
      </c>
      <c r="D23" s="491" t="s">
        <v>54</v>
      </c>
      <c r="E23" s="273" t="s">
        <v>55</v>
      </c>
      <c r="F23" s="492">
        <v>65.1</v>
      </c>
      <c r="G23" s="130">
        <v>1.48</v>
      </c>
      <c r="H23" s="130"/>
      <c r="I23" s="484">
        <f t="shared" si="0"/>
        <v>1.85</v>
      </c>
      <c r="J23" s="130">
        <f t="shared" si="1"/>
        <v>120.44</v>
      </c>
    </row>
    <row r="24" s="434" customFormat="1" ht="40.5" spans="1:11">
      <c r="A24" s="273" t="s">
        <v>56</v>
      </c>
      <c r="B24" s="273" t="s">
        <v>47</v>
      </c>
      <c r="C24" s="128">
        <v>102331</v>
      </c>
      <c r="D24" s="491" t="s">
        <v>57</v>
      </c>
      <c r="E24" s="273" t="s">
        <v>55</v>
      </c>
      <c r="F24" s="492">
        <v>10.85</v>
      </c>
      <c r="G24" s="130">
        <v>0.56</v>
      </c>
      <c r="H24" s="130"/>
      <c r="I24" s="484">
        <f t="shared" si="0"/>
        <v>0.7</v>
      </c>
      <c r="J24" s="130">
        <f t="shared" si="1"/>
        <v>7.6</v>
      </c>
    </row>
    <row r="25" s="434" customFormat="1" ht="40.5" spans="1:11">
      <c r="A25" s="273" t="s">
        <v>58</v>
      </c>
      <c r="B25" s="273" t="s">
        <v>47</v>
      </c>
      <c r="C25" s="128">
        <v>95995</v>
      </c>
      <c r="D25" s="491" t="s">
        <v>59</v>
      </c>
      <c r="E25" s="273" t="s">
        <v>60</v>
      </c>
      <c r="F25" s="492">
        <v>217.16</v>
      </c>
      <c r="G25" s="130">
        <v>1930.82</v>
      </c>
      <c r="H25" s="130"/>
      <c r="I25" s="484">
        <f t="shared" si="0"/>
        <v>2408.5</v>
      </c>
      <c r="J25" s="130">
        <f t="shared" si="1"/>
        <v>523029.86</v>
      </c>
    </row>
    <row r="26" s="434" customFormat="1" ht="27" spans="1:11">
      <c r="A26" s="273" t="s">
        <v>61</v>
      </c>
      <c r="B26" s="273" t="s">
        <v>47</v>
      </c>
      <c r="C26" s="128">
        <v>95875</v>
      </c>
      <c r="D26" s="491" t="s">
        <v>62</v>
      </c>
      <c r="E26" s="273" t="s">
        <v>63</v>
      </c>
      <c r="F26" s="492">
        <v>6514.8</v>
      </c>
      <c r="G26" s="130">
        <v>2.64</v>
      </c>
      <c r="H26" s="130"/>
      <c r="I26" s="484">
        <f t="shared" si="0"/>
        <v>3.29</v>
      </c>
      <c r="J26" s="130">
        <f t="shared" si="1"/>
        <v>21433.69</v>
      </c>
    </row>
    <row r="27" s="434" customFormat="1" ht="40.5" spans="1:11">
      <c r="A27" s="273" t="s">
        <v>64</v>
      </c>
      <c r="B27" s="273" t="s">
        <v>47</v>
      </c>
      <c r="C27" s="128">
        <v>93590</v>
      </c>
      <c r="D27" s="491" t="s">
        <v>65</v>
      </c>
      <c r="E27" s="273" t="s">
        <v>63</v>
      </c>
      <c r="F27" s="492">
        <v>1085.8</v>
      </c>
      <c r="G27" s="130">
        <v>1.01</v>
      </c>
      <c r="H27" s="130"/>
      <c r="I27" s="484">
        <f t="shared" si="0"/>
        <v>1.26</v>
      </c>
      <c r="J27" s="130">
        <f t="shared" si="1"/>
        <v>1368.11</v>
      </c>
    </row>
    <row r="28" s="433" customFormat="1" spans="1:11">
      <c r="A28" s="478">
        <v>4</v>
      </c>
      <c r="B28" s="478"/>
      <c r="C28" s="478"/>
      <c r="D28" s="479" t="s">
        <v>66</v>
      </c>
      <c r="E28" s="478"/>
      <c r="F28" s="478"/>
      <c r="G28" s="478"/>
      <c r="H28" s="478"/>
      <c r="I28" s="478"/>
      <c r="J28" s="480">
        <f>SUM(J29:J33)</f>
        <v>382977.63</v>
      </c>
    </row>
    <row r="29" s="434" customFormat="1" ht="27" spans="1:11">
      <c r="A29" s="128" t="s">
        <v>67</v>
      </c>
      <c r="B29" s="128" t="s">
        <v>42</v>
      </c>
      <c r="C29" s="274" t="s">
        <v>68</v>
      </c>
      <c r="D29" s="490" t="s">
        <v>69</v>
      </c>
      <c r="E29" s="128" t="s">
        <v>37</v>
      </c>
      <c r="F29" s="128">
        <v>3380.24</v>
      </c>
      <c r="G29" s="130">
        <v>9.01</v>
      </c>
      <c r="H29" s="493"/>
      <c r="I29" s="484">
        <f>ROUND(G29*(1+$I$10),2)</f>
        <v>11.24</v>
      </c>
      <c r="J29" s="130">
        <f>I29*F29</f>
        <v>37993.9</v>
      </c>
    </row>
    <row r="30" s="434" customFormat="1" ht="40.5" spans="1:11">
      <c r="A30" s="273" t="s">
        <v>70</v>
      </c>
      <c r="B30" s="128" t="s">
        <v>47</v>
      </c>
      <c r="C30" s="273">
        <v>102491</v>
      </c>
      <c r="D30" s="494" t="s">
        <v>71</v>
      </c>
      <c r="E30" s="273" t="s">
        <v>37</v>
      </c>
      <c r="F30" s="492">
        <v>3380.24</v>
      </c>
      <c r="G30" s="130">
        <v>24.39</v>
      </c>
      <c r="H30" s="130"/>
      <c r="I30" s="484">
        <f>ROUND(G30*(1+$I$10),2)</f>
        <v>30.42</v>
      </c>
      <c r="J30" s="130">
        <f>I30*F30</f>
        <v>102826.9</v>
      </c>
    </row>
    <row r="31" s="434" customFormat="1" ht="40.5" spans="1:11">
      <c r="A31" s="273" t="s">
        <v>72</v>
      </c>
      <c r="B31" s="128" t="s">
        <v>73</v>
      </c>
      <c r="C31" s="274" t="s">
        <v>74</v>
      </c>
      <c r="D31" s="494" t="s">
        <v>75</v>
      </c>
      <c r="E31" s="273" t="s">
        <v>76</v>
      </c>
      <c r="F31" s="492">
        <v>688</v>
      </c>
      <c r="G31" s="130">
        <v>259.55</v>
      </c>
      <c r="H31" s="130"/>
      <c r="I31" s="484">
        <f>ROUND(G31*(1+$I$10),2)</f>
        <v>323.76</v>
      </c>
      <c r="J31" s="130">
        <f>I31*F31</f>
        <v>222746.88</v>
      </c>
    </row>
    <row r="32" s="434" customFormat="1" ht="40.5" spans="1:11">
      <c r="A32" s="273" t="s">
        <v>77</v>
      </c>
      <c r="B32" s="128" t="s">
        <v>47</v>
      </c>
      <c r="C32" s="273">
        <v>102513</v>
      </c>
      <c r="D32" s="491" t="s">
        <v>78</v>
      </c>
      <c r="E32" s="273" t="s">
        <v>37</v>
      </c>
      <c r="F32" s="492">
        <v>56</v>
      </c>
      <c r="G32" s="130">
        <v>57.45</v>
      </c>
      <c r="H32" s="130"/>
      <c r="I32" s="484">
        <f>ROUND(G32*(1+$I$10),2)</f>
        <v>71.66</v>
      </c>
      <c r="J32" s="130">
        <f>I32*F32</f>
        <v>4012.96</v>
      </c>
    </row>
    <row r="33" s="434" customFormat="1" ht="54" spans="1:12">
      <c r="A33" s="273" t="s">
        <v>79</v>
      </c>
      <c r="B33" s="128" t="s">
        <v>47</v>
      </c>
      <c r="C33" s="273">
        <v>102512</v>
      </c>
      <c r="D33" s="491" t="s">
        <v>80</v>
      </c>
      <c r="E33" s="273" t="s">
        <v>81</v>
      </c>
      <c r="F33" s="492">
        <v>1690.12</v>
      </c>
      <c r="G33" s="130">
        <v>7.3</v>
      </c>
      <c r="H33" s="130"/>
      <c r="I33" s="484">
        <f>ROUND(G33*(1+$I$10),2)</f>
        <v>9.11</v>
      </c>
      <c r="J33" s="130">
        <f>I33*F33</f>
        <v>15396.99</v>
      </c>
    </row>
    <row r="34" s="433" customFormat="1" spans="1:12">
      <c r="A34" s="478">
        <v>5</v>
      </c>
      <c r="B34" s="478"/>
      <c r="C34" s="478"/>
      <c r="D34" s="479" t="s">
        <v>82</v>
      </c>
      <c r="E34" s="478"/>
      <c r="F34" s="478"/>
      <c r="G34" s="495"/>
      <c r="H34" s="478"/>
      <c r="I34" s="478"/>
      <c r="J34" s="480">
        <f>SUBTOTAL(9,J35:J38)</f>
        <v>144249.2</v>
      </c>
    </row>
    <row r="35" s="434" customFormat="1" ht="27" spans="1:12">
      <c r="A35" s="128" t="s">
        <v>83</v>
      </c>
      <c r="B35" s="128" t="s">
        <v>47</v>
      </c>
      <c r="C35" s="128">
        <v>97636</v>
      </c>
      <c r="D35" s="129" t="s">
        <v>84</v>
      </c>
      <c r="E35" s="128" t="s">
        <v>37</v>
      </c>
      <c r="F35" s="496">
        <v>676.05</v>
      </c>
      <c r="G35" s="130">
        <v>24.63</v>
      </c>
      <c r="H35" s="128"/>
      <c r="I35" s="484">
        <f>ROUND(G35*(1+$I$10),2)</f>
        <v>30.72</v>
      </c>
      <c r="J35" s="130">
        <f>I35*F35</f>
        <v>20768.26</v>
      </c>
    </row>
    <row r="36" s="434" customFormat="1" spans="1:12">
      <c r="A36" s="128" t="s">
        <v>85</v>
      </c>
      <c r="B36" s="274" t="s">
        <v>25</v>
      </c>
      <c r="C36" s="274" t="s">
        <v>86</v>
      </c>
      <c r="D36" s="129" t="s">
        <v>87</v>
      </c>
      <c r="E36" s="128" t="s">
        <v>60</v>
      </c>
      <c r="F36" s="497">
        <v>33.8</v>
      </c>
      <c r="G36" s="130">
        <v>80.99</v>
      </c>
      <c r="H36" s="128"/>
      <c r="I36" s="484">
        <f>ROUND(G36*(1+$I$10),2)</f>
        <v>101.03</v>
      </c>
      <c r="J36" s="130">
        <f>I36*F36</f>
        <v>3414.81</v>
      </c>
    </row>
    <row r="37" s="434" customFormat="1" ht="47" customHeight="1" spans="1:12">
      <c r="A37" s="128" t="s">
        <v>88</v>
      </c>
      <c r="B37" s="128" t="s">
        <v>47</v>
      </c>
      <c r="C37" s="128">
        <v>94265</v>
      </c>
      <c r="D37" s="129" t="s">
        <v>89</v>
      </c>
      <c r="E37" s="128" t="s">
        <v>81</v>
      </c>
      <c r="F37" s="496">
        <v>1690.12</v>
      </c>
      <c r="G37" s="130">
        <v>53.1</v>
      </c>
      <c r="H37" s="128"/>
      <c r="I37" s="484">
        <f>ROUND(G37*(1+$I$10),2)</f>
        <v>66.24</v>
      </c>
      <c r="J37" s="130">
        <f>I37*F37</f>
        <v>111953.55</v>
      </c>
    </row>
    <row r="38" s="434" customFormat="1" ht="47" customHeight="1" spans="1:12">
      <c r="A38" s="128" t="s">
        <v>90</v>
      </c>
      <c r="B38" s="128" t="s">
        <v>47</v>
      </c>
      <c r="C38" s="128">
        <v>102498</v>
      </c>
      <c r="D38" s="129" t="s">
        <v>91</v>
      </c>
      <c r="E38" s="128" t="s">
        <v>81</v>
      </c>
      <c r="F38" s="496">
        <v>3380.24</v>
      </c>
      <c r="G38" s="130">
        <v>1.92</v>
      </c>
      <c r="H38" s="128"/>
      <c r="I38" s="484">
        <f>ROUND(G38*(1+$I$10),2)</f>
        <v>2.4</v>
      </c>
      <c r="J38" s="130">
        <f>I38*F38</f>
        <v>8112.58</v>
      </c>
    </row>
    <row r="39" s="433" customFormat="1" spans="1:12">
      <c r="A39" s="478">
        <v>6</v>
      </c>
      <c r="B39" s="478"/>
      <c r="C39" s="478"/>
      <c r="D39" s="479" t="s">
        <v>92</v>
      </c>
      <c r="E39" s="478"/>
      <c r="F39" s="478"/>
      <c r="G39" s="495"/>
      <c r="H39" s="478"/>
      <c r="I39" s="478"/>
      <c r="J39" s="480">
        <f>SUBTOTAL(9,J40:J41)</f>
        <v>37357.13</v>
      </c>
    </row>
    <row r="40" s="434" customFormat="1" ht="27" spans="1:12">
      <c r="A40" s="128" t="s">
        <v>93</v>
      </c>
      <c r="B40" s="128" t="s">
        <v>47</v>
      </c>
      <c r="C40" s="128">
        <v>98524</v>
      </c>
      <c r="D40" s="129" t="s">
        <v>94</v>
      </c>
      <c r="E40" s="128" t="s">
        <v>37</v>
      </c>
      <c r="F40" s="128">
        <v>2704.91</v>
      </c>
      <c r="G40" s="130">
        <v>5.3</v>
      </c>
      <c r="H40" s="128"/>
      <c r="I40" s="484">
        <f>ROUND(G40*(1+$I$10),2)</f>
        <v>6.61</v>
      </c>
      <c r="J40" s="130">
        <f>I40*F40</f>
        <v>17879.46</v>
      </c>
    </row>
    <row r="41" s="434" customFormat="1" spans="1:12">
      <c r="A41" s="128" t="s">
        <v>95</v>
      </c>
      <c r="B41" s="274" t="s">
        <v>25</v>
      </c>
      <c r="C41" s="274" t="s">
        <v>96</v>
      </c>
      <c r="D41" s="490" t="s">
        <v>97</v>
      </c>
      <c r="E41" s="128" t="s">
        <v>37</v>
      </c>
      <c r="F41" s="498">
        <v>55.56</v>
      </c>
      <c r="G41" s="499">
        <f>Composição!G69</f>
        <v>281.04</v>
      </c>
      <c r="H41" s="128"/>
      <c r="I41" s="484">
        <f>ROUND(G41*(1+$I$10),2)</f>
        <v>350.57</v>
      </c>
      <c r="J41" s="130">
        <f>I41*F41</f>
        <v>19477.67</v>
      </c>
    </row>
    <row r="42" s="433" customFormat="1" spans="1:12">
      <c r="A42" s="478">
        <v>7</v>
      </c>
      <c r="B42" s="478"/>
      <c r="C42" s="478"/>
      <c r="D42" s="500" t="s">
        <v>98</v>
      </c>
      <c r="E42" s="478"/>
      <c r="F42" s="478"/>
      <c r="G42" s="478"/>
      <c r="H42" s="478"/>
      <c r="I42" s="478"/>
      <c r="J42" s="480">
        <f>SUBTOTAL(9,J43:J46)</f>
        <v>153194.42</v>
      </c>
    </row>
    <row r="43" s="434" customFormat="1" ht="40.5" spans="1:12">
      <c r="A43" s="128" t="s">
        <v>99</v>
      </c>
      <c r="B43" s="274" t="s">
        <v>25</v>
      </c>
      <c r="C43" s="501" t="s">
        <v>100</v>
      </c>
      <c r="D43" s="502" t="s">
        <v>101</v>
      </c>
      <c r="E43" s="503" t="s">
        <v>76</v>
      </c>
      <c r="F43" s="498">
        <v>1</v>
      </c>
      <c r="G43" s="499">
        <f>Composição!G30</f>
        <v>18158.63</v>
      </c>
      <c r="H43" s="128"/>
      <c r="I43" s="484">
        <f>ROUND(G43*(1+$I$10),2)</f>
        <v>22651.08</v>
      </c>
      <c r="J43" s="130">
        <f>I43*F43</f>
        <v>22651.08</v>
      </c>
    </row>
    <row r="44" ht="40.5" spans="1:12">
      <c r="A44" s="128" t="s">
        <v>102</v>
      </c>
      <c r="B44" s="274" t="s">
        <v>25</v>
      </c>
      <c r="C44" s="274" t="s">
        <v>103</v>
      </c>
      <c r="D44" s="436" t="s">
        <v>104</v>
      </c>
      <c r="E44" s="274" t="s">
        <v>76</v>
      </c>
      <c r="F44" s="504">
        <v>7</v>
      </c>
      <c r="G44" s="484">
        <f>Composição!G52</f>
        <v>2117.95</v>
      </c>
      <c r="H44" s="484"/>
      <c r="I44" s="484">
        <f>ROUND(G44*(1+$I$10),2)</f>
        <v>2641.93</v>
      </c>
      <c r="J44" s="130">
        <f>I44*F44</f>
        <v>18493.51</v>
      </c>
    </row>
    <row r="45" ht="67.5" spans="1:12">
      <c r="A45" s="128" t="s">
        <v>105</v>
      </c>
      <c r="B45" s="274" t="s">
        <v>47</v>
      </c>
      <c r="C45" s="274">
        <v>103210</v>
      </c>
      <c r="D45" s="489" t="s">
        <v>106</v>
      </c>
      <c r="E45" s="274" t="s">
        <v>76</v>
      </c>
      <c r="F45" s="504">
        <v>10</v>
      </c>
      <c r="G45" s="488">
        <v>2340.81</v>
      </c>
      <c r="H45" s="484"/>
      <c r="I45" s="484">
        <f>ROUND(G45*(1+$I$10),2)</f>
        <v>2919.93</v>
      </c>
      <c r="J45" s="130">
        <f>I45*F45</f>
        <v>29199.3</v>
      </c>
    </row>
    <row r="46" ht="67.5" spans="1:12">
      <c r="A46" s="128" t="s">
        <v>107</v>
      </c>
      <c r="B46" s="274" t="s">
        <v>25</v>
      </c>
      <c r="C46" s="274" t="s">
        <v>108</v>
      </c>
      <c r="D46" s="436" t="s">
        <v>109</v>
      </c>
      <c r="E46" s="274" t="s">
        <v>76</v>
      </c>
      <c r="F46" s="504">
        <v>7</v>
      </c>
      <c r="G46" s="484">
        <f>Composição!G62</f>
        <v>9488.37</v>
      </c>
      <c r="H46" s="484"/>
      <c r="I46" s="484">
        <f>ROUND(G46*(1+$I$10),2)</f>
        <v>11835.79</v>
      </c>
      <c r="J46" s="130">
        <f>I46*F46</f>
        <v>82850.53</v>
      </c>
    </row>
    <row r="47" spans="1:12">
      <c r="A47" s="501"/>
      <c r="B47" s="277"/>
      <c r="C47" s="277"/>
      <c r="D47" s="277"/>
      <c r="E47" s="277"/>
      <c r="F47" s="277"/>
      <c r="G47" s="277"/>
      <c r="H47" s="277"/>
      <c r="I47" s="277"/>
      <c r="J47" s="503"/>
    </row>
    <row r="48" s="433" customFormat="1" ht="12" customHeight="1" spans="1:12">
      <c r="A48" s="505" t="s">
        <v>110</v>
      </c>
      <c r="B48" s="506"/>
      <c r="C48" s="506"/>
      <c r="D48" s="506"/>
      <c r="E48" s="506"/>
      <c r="F48" s="506"/>
      <c r="G48" s="506"/>
      <c r="H48" s="506"/>
      <c r="I48" s="507"/>
      <c r="J48" s="480">
        <f>J42+J39+J34+J28+J20+J15+J13</f>
        <v>1311362.59</v>
      </c>
      <c r="L48" s="481"/>
    </row>
    <row r="49" spans="1:10">
      <c r="A49" s="508"/>
      <c r="B49" s="509"/>
      <c r="C49" s="509"/>
      <c r="D49" s="509"/>
      <c r="E49" s="509"/>
      <c r="F49" s="509"/>
      <c r="G49" s="509"/>
      <c r="H49" s="509"/>
      <c r="I49" s="509"/>
      <c r="J49" s="510"/>
    </row>
    <row r="50" ht="42.75" customHeight="1" spans="1:10">
      <c r="A50" s="511"/>
      <c r="B50" s="512"/>
      <c r="C50" s="512"/>
      <c r="D50" s="512"/>
      <c r="E50" s="513"/>
      <c r="G50" s="514" t="s">
        <v>111</v>
      </c>
      <c r="H50" s="514"/>
      <c r="I50" s="514"/>
      <c r="J50" s="515"/>
    </row>
    <row r="51" ht="18.75" customHeight="1" spans="1:10">
      <c r="A51" s="219"/>
      <c r="B51" s="514" t="s">
        <v>112</v>
      </c>
      <c r="C51" s="514"/>
      <c r="D51" s="514"/>
      <c r="E51" s="513"/>
      <c r="G51" s="516" t="s">
        <v>113</v>
      </c>
      <c r="H51" s="516"/>
      <c r="I51" s="516"/>
      <c r="J51" s="515"/>
    </row>
    <row r="52" ht="31.5" hidden="1" customHeight="1" spans="1:10">
      <c r="A52" s="219"/>
      <c r="B52" s="512"/>
      <c r="C52" s="512"/>
      <c r="D52" s="512"/>
      <c r="E52" s="517"/>
      <c r="F52" s="517"/>
      <c r="G52" s="517"/>
      <c r="H52" s="517"/>
      <c r="J52" s="515"/>
    </row>
    <row r="53" ht="16.5" hidden="1" customHeight="1" spans="1:10">
      <c r="A53" s="219"/>
      <c r="B53" s="514" t="s">
        <v>114</v>
      </c>
      <c r="C53" s="514"/>
      <c r="D53" s="514"/>
      <c r="E53" s="513"/>
      <c r="F53" s="513"/>
      <c r="G53" s="513"/>
      <c r="H53" s="513"/>
      <c r="J53" s="515"/>
    </row>
    <row r="54" spans="1:10">
      <c r="A54" s="518"/>
      <c r="B54" s="519"/>
      <c r="C54" s="519"/>
      <c r="D54" s="519"/>
      <c r="E54" s="519"/>
      <c r="F54" s="519"/>
      <c r="G54" s="519"/>
      <c r="H54" s="519"/>
      <c r="I54" s="519"/>
      <c r="J54" s="520"/>
    </row>
    <row r="58" spans="1:10">
      <c r="D58" s="521"/>
    </row>
    <row r="59" spans="1:10">
      <c r="D59" s="521"/>
    </row>
    <row r="60" spans="1:10">
      <c r="D60" s="521"/>
    </row>
    <row r="61" spans="1:10">
      <c r="D61" s="521"/>
    </row>
    <row r="62" spans="1:10">
      <c r="D62" s="521"/>
    </row>
  </sheetData>
  <autoFilter xmlns:etc="http://www.wps.cn/officeDocument/2017/etCustomData" ref="B1:B63" etc:filterBottomFollowUsedRange="0">
    <extLst/>
  </autoFilter>
  <mergeCells count="26">
    <mergeCell ref="A1:I1"/>
    <mergeCell ref="A2:J2"/>
    <mergeCell ref="A3:J3"/>
    <mergeCell ref="A4:J4"/>
    <mergeCell ref="A5:J5"/>
    <mergeCell ref="A6:F6"/>
    <mergeCell ref="G6:J6"/>
    <mergeCell ref="A7:F7"/>
    <mergeCell ref="G7:J7"/>
    <mergeCell ref="G8:J8"/>
    <mergeCell ref="G9:J9"/>
    <mergeCell ref="A10:D10"/>
    <mergeCell ref="I10:J10"/>
    <mergeCell ref="A47:J47"/>
    <mergeCell ref="A48:I48"/>
    <mergeCell ref="B50:D50"/>
    <mergeCell ref="G50:I50"/>
    <mergeCell ref="B51:D51"/>
    <mergeCell ref="G51:I51"/>
    <mergeCell ref="B52:D52"/>
    <mergeCell ref="E52:F52"/>
    <mergeCell ref="G52:H52"/>
    <mergeCell ref="B53:D53"/>
    <mergeCell ref="E9:E10"/>
    <mergeCell ref="F9:F10"/>
    <mergeCell ref="A8:D9"/>
  </mergeCells>
  <dataValidations count="3">
    <dataValidation type="list" allowBlank="1" sqref="B12:B46">
      <formula1>"SINAPI,SINAPI-I,SICRO,Composição,Cotação"</formula1>
    </dataValidation>
    <dataValidation allowBlank="1" showInputMessage="1" showErrorMessage="1" prompt="A entrada de quantidades é feita na coluna AJ se acompanhamento por BM, ou na aba &quot;Memória de Cálculo/PLQ&quot; se acompanhamento por PLE." sqref="F12:F46"/>
    <dataValidation type="decimal" operator="greaterThan" allowBlank="1" showErrorMessage="1" error="Apenas números decimais maiores que zero." sqref="G12:G46 H12:I13">
      <formula1>0</formula1>
    </dataValidation>
  </dataValidations>
  <pageMargins left="0.509722222222222" right="0.509722222222222" top="0.789583333333333" bottom="0.789583333333333" header="0.309722222222222" footer="0.309722222222222"/>
  <pageSetup paperSize="9" scale="95" fitToHeight="0" orientation="landscape" horizontalDpi="600"/>
  <headerFooter>
    <oddFooter>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5"/>
  <sheetViews>
    <sheetView view="pageBreakPreview" zoomScale="153" zoomScaleNormal="100" workbookViewId="0">
      <selection activeCell="J141" sqref="J141"/>
    </sheetView>
  </sheetViews>
  <sheetFormatPr defaultColWidth="9" defaultRowHeight="12.75"/>
  <cols>
    <col min="1" max="1" width="7.28571428571429" style="77" customWidth="1"/>
    <col min="2" max="2" width="10.2857142857143" style="77" customWidth="1"/>
    <col min="3" max="3" width="9.14285714285714" style="77"/>
    <col min="4" max="4" width="29.2857142857143" style="77" customWidth="1"/>
    <col min="5" max="5" width="9.14285714285714" style="77"/>
    <col min="6" max="6" width="6.24761904761905" style="77" customWidth="1"/>
    <col min="7" max="7" width="12.0380952380952" style="77" customWidth="1"/>
    <col min="8" max="8" width="4.71428571428571" style="77" customWidth="1"/>
    <col min="9" max="9" width="11.5714285714286" style="77" customWidth="1"/>
    <col min="10" max="10" width="6.92380952380952" style="77" customWidth="1"/>
    <col min="11" max="11" width="9.14285714285714" style="77"/>
    <col min="12" max="12" width="4.85714285714286" style="77" hidden="1" customWidth="1"/>
    <col min="13" max="13" width="4.42857142857143" style="77" hidden="1" customWidth="1"/>
    <col min="14" max="14" width="5.14285714285714" style="77" hidden="1" customWidth="1"/>
    <col min="15" max="16384" width="9.14285714285714" style="77"/>
  </cols>
  <sheetData>
    <row r="1" ht="41.25" customHeight="1" spans="1:11">
      <c r="A1" s="229" t="str">
        <f>'Planilha orç.'!A1</f>
        <v>MUNICIPIO DE JOÃO MONLEVADE - MG </v>
      </c>
      <c r="B1" s="230"/>
      <c r="C1" s="230"/>
      <c r="D1" s="230"/>
      <c r="E1" s="230"/>
      <c r="F1" s="230"/>
      <c r="G1" s="230"/>
      <c r="H1" s="230"/>
      <c r="I1" s="230"/>
      <c r="J1" s="230"/>
      <c r="K1" s="231"/>
    </row>
    <row r="2" ht="6" customHeight="1" spans="1:11">
      <c r="A2" s="232"/>
      <c r="B2" s="233"/>
      <c r="C2" s="233"/>
      <c r="D2" s="233"/>
      <c r="E2" s="233"/>
      <c r="F2" s="233"/>
      <c r="G2" s="233"/>
      <c r="H2" s="233"/>
      <c r="I2" s="233"/>
      <c r="J2" s="233"/>
      <c r="K2" s="234"/>
    </row>
    <row r="3" spans="1:11">
      <c r="A3" s="235" t="s">
        <v>115</v>
      </c>
      <c r="B3" s="236"/>
      <c r="C3" s="236"/>
      <c r="D3" s="236"/>
      <c r="E3" s="236"/>
      <c r="F3" s="236"/>
      <c r="G3" s="236"/>
      <c r="H3" s="236"/>
      <c r="I3" s="236"/>
      <c r="J3" s="236"/>
      <c r="K3" s="237"/>
    </row>
    <row r="4" ht="6" customHeight="1" spans="1:11">
      <c r="A4" s="232"/>
      <c r="B4" s="233"/>
      <c r="C4" s="233"/>
      <c r="D4" s="233"/>
      <c r="E4" s="233"/>
      <c r="F4" s="233"/>
      <c r="G4" s="233"/>
      <c r="H4" s="233"/>
      <c r="I4" s="233"/>
      <c r="J4" s="233"/>
      <c r="K4" s="234"/>
    </row>
    <row r="5" spans="1:11">
      <c r="A5" s="238" t="str">
        <f>'Planilha orç.'!A5</f>
        <v>OBRA: REFORMA E REVITALIZAÇÃO DA PISTA DE CAMINHADA E CICLOVIA</v>
      </c>
      <c r="B5" s="239"/>
      <c r="C5" s="239"/>
      <c r="D5" s="239"/>
      <c r="E5" s="239"/>
      <c r="F5" s="239"/>
      <c r="G5" s="239"/>
      <c r="H5" s="240" t="str">
        <f>'Planilha orç.'!G7</f>
        <v>DATA: 17/04/2026</v>
      </c>
      <c r="I5" s="241"/>
      <c r="J5" s="241"/>
      <c r="K5" s="242"/>
    </row>
    <row r="6" spans="1:11">
      <c r="A6" s="243" t="str">
        <f>'Planilha orç.'!A7</f>
        <v>LOCAL: AV. WILSON ALVARENGA - BELMONTE, JOÃO MONLEVADE - MG</v>
      </c>
      <c r="B6" s="244"/>
      <c r="C6" s="244"/>
      <c r="D6" s="244"/>
      <c r="E6" s="244"/>
      <c r="F6" s="244"/>
      <c r="G6" s="244"/>
      <c r="H6" s="244"/>
      <c r="I6" s="244"/>
      <c r="J6" s="244"/>
      <c r="K6" s="245"/>
    </row>
    <row r="7" spans="1:11">
      <c r="A7" s="238" t="str">
        <f>'Planilha orç.'!A8</f>
        <v>REFERÊNCIA:  SICOR MG 01/2026 - SINAPI 02/2026 NÃO DESONERADA</v>
      </c>
      <c r="B7" s="239"/>
      <c r="C7" s="239"/>
      <c r="D7" s="239"/>
      <c r="E7" s="239"/>
      <c r="F7" s="239"/>
      <c r="G7" s="239"/>
      <c r="H7" s="239"/>
      <c r="I7" s="239"/>
      <c r="J7" s="239"/>
      <c r="K7" s="246"/>
    </row>
    <row r="8" spans="1:11">
      <c r="A8" s="238" t="str">
        <f>'Planilha orç.'!A10</f>
        <v>PRAZO DE EXECUÇÃO: 4 MESES</v>
      </c>
      <c r="B8" s="239"/>
      <c r="C8" s="239"/>
      <c r="D8" s="239"/>
      <c r="E8" s="239"/>
      <c r="F8" s="239"/>
      <c r="G8" s="239"/>
      <c r="H8" s="239"/>
      <c r="I8" s="239"/>
      <c r="J8" s="239"/>
      <c r="K8" s="246"/>
    </row>
    <row r="9" spans="1:11">
      <c r="A9" s="247"/>
      <c r="B9" s="248"/>
      <c r="C9" s="248"/>
      <c r="D9" s="248"/>
      <c r="E9" s="248"/>
      <c r="F9" s="248"/>
      <c r="G9" s="248"/>
      <c r="H9" s="248"/>
      <c r="I9" s="248"/>
      <c r="J9" s="248"/>
      <c r="K9" s="249"/>
    </row>
    <row r="10" s="74" customFormat="1" spans="1:11">
      <c r="A10" s="250" t="s">
        <v>116</v>
      </c>
      <c r="B10" s="251" t="s">
        <v>117</v>
      </c>
      <c r="C10" s="251"/>
      <c r="D10" s="251" t="s">
        <v>118</v>
      </c>
      <c r="E10" s="251"/>
      <c r="F10" s="251"/>
      <c r="G10" s="251"/>
      <c r="H10" s="251"/>
      <c r="I10" s="251"/>
      <c r="J10" s="251"/>
      <c r="K10" s="252" t="s">
        <v>119</v>
      </c>
    </row>
    <row r="11" ht="6.75" customHeight="1" spans="1:11">
      <c r="A11" s="247"/>
      <c r="B11" s="248"/>
      <c r="C11" s="248"/>
      <c r="D11" s="248"/>
      <c r="E11" s="248"/>
      <c r="F11" s="248"/>
      <c r="G11" s="248"/>
      <c r="H11" s="248"/>
      <c r="I11" s="248"/>
      <c r="J11" s="248"/>
      <c r="K11" s="249"/>
    </row>
    <row r="12" s="74" customFormat="1" customHeight="1" spans="1:11">
      <c r="A12" s="250">
        <v>1</v>
      </c>
      <c r="B12" s="253" t="str">
        <f>'Planilha orç.'!D12</f>
        <v>REFORMA E REVITALIZAÇÃO DA PISTA DE CAMINHADA E CICLOVIA</v>
      </c>
      <c r="C12" s="254"/>
      <c r="D12" s="254"/>
      <c r="E12" s="254"/>
      <c r="F12" s="254"/>
      <c r="G12" s="254"/>
      <c r="H12" s="254"/>
      <c r="I12" s="254"/>
      <c r="J12" s="254"/>
      <c r="K12" s="255"/>
    </row>
    <row r="13" s="74" customFormat="1" spans="1:11">
      <c r="A13" s="256"/>
      <c r="B13" s="257" t="str">
        <f>'Planilha orç.'!D13</f>
        <v>ADMINISTRAÇÃO LOCAL</v>
      </c>
      <c r="C13" s="258"/>
      <c r="D13" s="258"/>
      <c r="E13" s="258"/>
      <c r="F13" s="258"/>
      <c r="G13" s="258"/>
      <c r="H13" s="258"/>
      <c r="I13" s="258"/>
      <c r="J13" s="258"/>
      <c r="K13" s="259"/>
    </row>
    <row r="14" spans="1:11">
      <c r="A14" s="260" t="str">
        <f>'Planilha orç.'!A14</f>
        <v>1.1</v>
      </c>
      <c r="B14" s="261" t="str">
        <f>'Planilha orç.'!B14</f>
        <v>COMPOSIÇÃO</v>
      </c>
      <c r="C14" s="262" t="str">
        <f>'Planilha orç.'!C14</f>
        <v>CPU-002</v>
      </c>
      <c r="D14" s="263" t="str">
        <f>'Planilha orç.'!D14</f>
        <v>ADMINISTRAÇÃO LOCAL</v>
      </c>
      <c r="E14" s="264"/>
      <c r="F14" s="264"/>
      <c r="G14" s="264"/>
      <c r="H14" s="264"/>
      <c r="I14" s="264"/>
      <c r="J14" s="264"/>
      <c r="K14" s="265" t="str">
        <f>'Planilha orç.'!E14</f>
        <v>MÊS</v>
      </c>
    </row>
    <row r="15" spans="1:11">
      <c r="A15" s="260"/>
      <c r="B15" s="261"/>
      <c r="C15" s="262"/>
      <c r="D15" s="263"/>
      <c r="E15" s="264"/>
      <c r="F15" s="264"/>
      <c r="G15" s="264"/>
      <c r="H15" s="264"/>
      <c r="I15" s="264"/>
      <c r="J15" s="264"/>
      <c r="K15" s="266">
        <v>4</v>
      </c>
    </row>
    <row r="16" ht="4.5" customHeight="1" spans="1:11">
      <c r="A16" s="267"/>
      <c r="B16" s="268"/>
      <c r="C16" s="268"/>
      <c r="D16" s="268"/>
      <c r="E16" s="268"/>
      <c r="F16" s="268"/>
      <c r="G16" s="268"/>
      <c r="H16" s="268"/>
      <c r="I16" s="268"/>
      <c r="J16" s="268"/>
      <c r="K16" s="269"/>
    </row>
    <row r="17" s="74" customFormat="1" customHeight="1" spans="1:11">
      <c r="A17" s="256">
        <f>'Planilha orç.'!A15</f>
        <v>2</v>
      </c>
      <c r="B17" s="257" t="str">
        <f>'Planilha orç.'!D15</f>
        <v>SERVIÇOS PRELIMINARES</v>
      </c>
      <c r="C17" s="258"/>
      <c r="D17" s="258"/>
      <c r="E17" s="258"/>
      <c r="F17" s="258"/>
      <c r="G17" s="258"/>
      <c r="H17" s="258"/>
      <c r="I17" s="258"/>
      <c r="J17" s="258"/>
      <c r="K17" s="259"/>
    </row>
    <row r="18" ht="27" customHeight="1" spans="1:11">
      <c r="A18" s="260" t="str">
        <f>'Planilha orç.'!A16</f>
        <v>2.1</v>
      </c>
      <c r="B18" s="261" t="str">
        <f>'Planilha orç.'!B16</f>
        <v>COMPOSIÇÃO</v>
      </c>
      <c r="C18" s="262" t="str">
        <f>'Planilha orç.'!C16</f>
        <v>CPU-004</v>
      </c>
      <c r="D18" s="263" t="str">
        <f>'Planilha orç.'!D16</f>
        <v>MOBILIZAÇÃO E DESMOBILIZAÇÃO DE OBRA EM CENTRO URBANO OU REGIÃO LIMÍTROFE COM VALOR ACIMA DE 1.000.000,00</v>
      </c>
      <c r="E18" s="264"/>
      <c r="F18" s="264"/>
      <c r="G18" s="264"/>
      <c r="H18" s="264"/>
      <c r="I18" s="264"/>
      <c r="J18" s="264"/>
      <c r="K18" s="265" t="s">
        <v>120</v>
      </c>
    </row>
    <row r="19" customHeight="1" spans="1:11">
      <c r="A19" s="270"/>
      <c r="B19" s="261"/>
      <c r="C19" s="271"/>
      <c r="D19" s="272"/>
      <c r="E19" s="272"/>
      <c r="F19" s="272"/>
      <c r="G19" s="272"/>
      <c r="H19" s="272"/>
      <c r="I19" s="272"/>
      <c r="J19" s="272"/>
      <c r="K19" s="266">
        <v>0.3</v>
      </c>
    </row>
    <row r="20" ht="4.5" customHeight="1" spans="1:11">
      <c r="A20" s="267"/>
      <c r="B20" s="268"/>
      <c r="C20" s="268"/>
      <c r="D20" s="268"/>
      <c r="E20" s="268"/>
      <c r="F20" s="268"/>
      <c r="G20" s="268"/>
      <c r="H20" s="268"/>
      <c r="I20" s="268"/>
      <c r="J20" s="268"/>
      <c r="K20" s="269"/>
    </row>
    <row r="21" customHeight="1" spans="1:11">
      <c r="A21" s="260" t="str">
        <f>'Planilha orç.'!A17</f>
        <v>2.2</v>
      </c>
      <c r="B21" s="261" t="str">
        <f>'Planilha orç.'!B17</f>
        <v>COMPOSIÇÃO</v>
      </c>
      <c r="C21" s="262" t="str">
        <f>'Planilha orç.'!C17</f>
        <v>CPU-001</v>
      </c>
      <c r="D21" s="263" t="str">
        <f>'Planilha orç.'!D17</f>
        <v>PLACA DE OBRA EM CHAPA DE ACO GALVANIZADO  CONFORME MANUAL DE PLACAS</v>
      </c>
      <c r="E21" s="264"/>
      <c r="F21" s="264"/>
      <c r="G21" s="264"/>
      <c r="H21" s="264"/>
      <c r="I21" s="264"/>
      <c r="J21" s="264"/>
      <c r="K21" s="265" t="str">
        <f>'Planilha orç.'!E17</f>
        <v>M2</v>
      </c>
    </row>
    <row r="22" customHeight="1" spans="1:11">
      <c r="A22" s="270"/>
      <c r="B22" s="261"/>
      <c r="C22" s="271"/>
      <c r="D22" s="272"/>
      <c r="E22" s="272"/>
      <c r="F22" s="272"/>
      <c r="G22" s="272" t="s">
        <v>121</v>
      </c>
      <c r="H22" s="272"/>
      <c r="I22" s="272" t="s">
        <v>122</v>
      </c>
      <c r="J22" s="272"/>
      <c r="K22" s="265" t="s">
        <v>123</v>
      </c>
    </row>
    <row r="23" customHeight="1" spans="1:11">
      <c r="A23" s="270"/>
      <c r="B23" s="261"/>
      <c r="C23" s="271"/>
      <c r="D23" s="272"/>
      <c r="E23" s="272"/>
      <c r="F23" s="272"/>
      <c r="G23" s="272">
        <v>3</v>
      </c>
      <c r="H23" s="272" t="s">
        <v>124</v>
      </c>
      <c r="I23" s="272">
        <v>1.5</v>
      </c>
      <c r="J23" s="272" t="s">
        <v>125</v>
      </c>
      <c r="K23" s="266">
        <f>G23*I23</f>
        <v>4.5</v>
      </c>
    </row>
    <row r="24" ht="4.5" customHeight="1" spans="1:11">
      <c r="A24" s="267"/>
      <c r="B24" s="268"/>
      <c r="C24" s="268"/>
      <c r="D24" s="268"/>
      <c r="E24" s="268"/>
      <c r="F24" s="268"/>
      <c r="G24" s="268"/>
      <c r="H24" s="268"/>
      <c r="I24" s="268"/>
      <c r="J24" s="268"/>
      <c r="K24" s="269"/>
    </row>
    <row r="25" ht="39" customHeight="1" spans="1:11">
      <c r="A25" s="260" t="str">
        <f>'Planilha orç.'!A18</f>
        <v>2.3</v>
      </c>
      <c r="B25" s="261" t="str">
        <f>'Planilha orç.'!B18</f>
        <v>COMPOSIÇÃO</v>
      </c>
      <c r="C25" s="262" t="str">
        <f>'Planilha orç.'!C18</f>
        <v>CPU-003</v>
      </c>
      <c r="D25" s="263" t="str">
        <f>'Planilha orç.'!D18</f>
        <v>LOCACAO, MOBILIZAÇÃO E DESMOBILIZAÇÃO DE CONTAINER 2,30 X 6,00 M, ALT. 2,50 M, COM 1 SANITARIO, PARA ESCRITORIO, COMPLETO, SEM DIVISORIAS INTERNAS (INCLUI MOBILIZACAO/ DESMOBILIZACAO), NÃO INCLUI LIGAÇÕES PROVISÓRIAS</v>
      </c>
      <c r="E25" s="264"/>
      <c r="F25" s="264"/>
      <c r="G25" s="264"/>
      <c r="H25" s="264"/>
      <c r="I25" s="264"/>
      <c r="J25" s="264"/>
      <c r="K25" s="265" t="str">
        <f>'Planilha orç.'!E18</f>
        <v>MÊS</v>
      </c>
    </row>
    <row r="26" spans="1:11">
      <c r="A26" s="260"/>
      <c r="B26" s="261"/>
      <c r="C26" s="262"/>
      <c r="D26" s="263"/>
      <c r="E26" s="264"/>
      <c r="F26" s="264"/>
      <c r="G26" s="264"/>
      <c r="H26" s="264"/>
      <c r="I26" s="264"/>
      <c r="J26" s="264"/>
      <c r="K26" s="266">
        <v>4</v>
      </c>
    </row>
    <row r="27" ht="11" customHeight="1" spans="1:11">
      <c r="A27" s="267"/>
      <c r="B27" s="268"/>
      <c r="C27" s="268"/>
      <c r="D27" s="268"/>
      <c r="E27" s="268"/>
      <c r="F27" s="268"/>
      <c r="G27" s="268"/>
      <c r="H27" s="268"/>
      <c r="I27" s="268"/>
      <c r="J27" s="268"/>
      <c r="K27" s="269"/>
    </row>
    <row r="28" customFormat="1" ht="37" customHeight="1" spans="1:11">
      <c r="A28" s="267" t="s">
        <v>41</v>
      </c>
      <c r="B28" s="273" t="s">
        <v>42</v>
      </c>
      <c r="C28" s="274" t="s">
        <v>43</v>
      </c>
      <c r="D28" s="275" t="str">
        <f>'Planilha orç.'!D19</f>
        <v>LOCAÇÃO DE BANHEIRO QUÍMICO, DIMENSÃO (110X120X230)CM, LINHA PADRÃO, CONTENDO UMA (1) PIA/HIGIENIZADOR DE MÃOS, INCLUSIVE MANUTENÇÃO E MOBILIZAÇÃO / DESMOBILIZAÇÃO</v>
      </c>
      <c r="E28" s="275"/>
      <c r="F28" s="275"/>
      <c r="G28" s="275"/>
      <c r="H28" s="275"/>
      <c r="I28" s="275"/>
      <c r="J28" s="275"/>
      <c r="K28" s="265" t="str">
        <f>'Planilha orç.'!E21</f>
        <v>M2</v>
      </c>
    </row>
    <row r="29" customFormat="1" ht="13.5" spans="1:11">
      <c r="A29" s="267"/>
      <c r="B29" s="276"/>
      <c r="C29" s="277"/>
      <c r="D29" s="275"/>
      <c r="E29" s="275"/>
      <c r="F29" s="275"/>
      <c r="G29" s="275"/>
      <c r="H29" s="275"/>
      <c r="I29" s="275"/>
      <c r="J29" s="275"/>
      <c r="K29" s="266">
        <v>4</v>
      </c>
    </row>
    <row r="30" s="74" customFormat="1" ht="22" customHeight="1" spans="1:11">
      <c r="A30" s="278">
        <v>3</v>
      </c>
      <c r="B30" s="279" t="str">
        <f>'Planilha orç.'!D20</f>
        <v>PISTA DE CAMINHADA</v>
      </c>
      <c r="C30" s="280"/>
      <c r="D30" s="280"/>
      <c r="E30" s="280"/>
      <c r="F30" s="280"/>
      <c r="G30" s="280"/>
      <c r="H30" s="280"/>
      <c r="I30" s="280"/>
      <c r="J30" s="280"/>
      <c r="K30" s="281"/>
    </row>
    <row r="31" customHeight="1" spans="1:11">
      <c r="A31" s="270" t="s">
        <v>46</v>
      </c>
      <c r="B31" s="128" t="s">
        <v>42</v>
      </c>
      <c r="C31" s="274" t="s">
        <v>68</v>
      </c>
      <c r="D31" s="272" t="str">
        <f>'Planilha orç.'!D21</f>
        <v>LIMPEZA DE RUA COM CAMINHÃO PIPA. AF_10/2025</v>
      </c>
      <c r="E31" s="272"/>
      <c r="F31" s="272"/>
      <c r="G31" s="272"/>
      <c r="H31" s="272"/>
      <c r="I31" s="272"/>
      <c r="J31" s="272"/>
      <c r="K31" s="282"/>
    </row>
    <row r="32" customHeight="1" spans="1:11">
      <c r="A32" s="270"/>
      <c r="B32" s="128"/>
      <c r="C32" s="274"/>
      <c r="D32" s="272"/>
      <c r="E32" s="272"/>
      <c r="F32" s="272"/>
      <c r="G32" s="272"/>
      <c r="H32" s="272"/>
      <c r="I32" s="272"/>
      <c r="J32" s="272"/>
      <c r="K32" s="265" t="str">
        <f>'Planilha orç.'!E21</f>
        <v>M2</v>
      </c>
    </row>
    <row r="33" customHeight="1" spans="1:11">
      <c r="A33" s="270"/>
      <c r="B33" s="128"/>
      <c r="C33" s="274"/>
      <c r="D33" s="272"/>
      <c r="E33" s="272"/>
      <c r="F33" s="272"/>
      <c r="G33" s="272" t="s">
        <v>121</v>
      </c>
      <c r="H33" s="272"/>
      <c r="I33" s="272" t="s">
        <v>126</v>
      </c>
      <c r="J33" s="272"/>
      <c r="K33" s="265"/>
    </row>
    <row r="34" customHeight="1" spans="1:11">
      <c r="A34" s="270"/>
      <c r="B34" s="128"/>
      <c r="C34" s="274"/>
      <c r="D34" s="272"/>
      <c r="E34" s="272"/>
      <c r="F34" s="272"/>
      <c r="G34" s="272">
        <v>1690.12</v>
      </c>
      <c r="H34" s="272" t="s">
        <v>124</v>
      </c>
      <c r="I34" s="272">
        <v>3</v>
      </c>
      <c r="J34" s="272"/>
      <c r="K34" s="266">
        <v>5429.08</v>
      </c>
    </row>
    <row r="35" customHeight="1" spans="1:11">
      <c r="A35" s="270"/>
      <c r="B35" s="128"/>
      <c r="C35" s="274"/>
      <c r="D35" s="272"/>
      <c r="E35" s="272"/>
      <c r="F35" s="272"/>
      <c r="G35" s="77" t="s">
        <v>127</v>
      </c>
      <c r="H35" s="135" t="s">
        <v>128</v>
      </c>
      <c r="I35" s="283"/>
      <c r="J35" s="272"/>
      <c r="K35" s="266"/>
    </row>
    <row r="36" customHeight="1" spans="1:11">
      <c r="A36" s="270" t="s">
        <v>49</v>
      </c>
      <c r="B36" s="128" t="s">
        <v>50</v>
      </c>
      <c r="C36" s="128" t="s">
        <v>51</v>
      </c>
      <c r="D36" s="272" t="str">
        <f>'Planilha orç.'!D22</f>
        <v>PINTURA DE LIGAÇÃO COM RR-1C - SUDECAP 01/25</v>
      </c>
      <c r="E36" s="272"/>
      <c r="F36" s="272"/>
      <c r="G36" s="272"/>
      <c r="H36" s="272"/>
      <c r="I36" s="272"/>
      <c r="J36" s="272"/>
      <c r="K36" s="265" t="str">
        <f>'Planilha orç.'!E22</f>
        <v>M2</v>
      </c>
    </row>
    <row r="37" customHeight="1" spans="1:11">
      <c r="A37" s="270"/>
      <c r="B37" s="128"/>
      <c r="C37" s="128"/>
      <c r="D37" s="272"/>
      <c r="E37" s="272"/>
      <c r="F37" s="272"/>
      <c r="G37" s="272" t="s">
        <v>121</v>
      </c>
      <c r="H37" s="272"/>
      <c r="I37" s="272" t="s">
        <v>126</v>
      </c>
      <c r="J37" s="272"/>
      <c r="K37" s="265"/>
    </row>
    <row r="38" customHeight="1" spans="1:11">
      <c r="A38" s="270"/>
      <c r="B38" s="128"/>
      <c r="C38" s="128"/>
      <c r="D38" s="272"/>
      <c r="E38" s="272"/>
      <c r="F38" s="272"/>
      <c r="G38" s="284">
        <v>1690.12</v>
      </c>
      <c r="H38" s="284" t="s">
        <v>124</v>
      </c>
      <c r="I38" s="284">
        <v>3</v>
      </c>
      <c r="J38" s="272"/>
      <c r="K38" s="266">
        <v>5429.08</v>
      </c>
    </row>
    <row r="39" customHeight="1" spans="1:11">
      <c r="A39" s="270"/>
      <c r="B39" s="128"/>
      <c r="C39" s="128"/>
      <c r="D39" s="272"/>
      <c r="E39" s="272"/>
      <c r="F39" s="272"/>
      <c r="G39" s="77" t="s">
        <v>127</v>
      </c>
      <c r="H39" s="135" t="s">
        <v>128</v>
      </c>
      <c r="I39" s="283"/>
      <c r="J39" s="272"/>
      <c r="K39" s="285"/>
    </row>
    <row r="40" customHeight="1" spans="1:11">
      <c r="A40" s="270" t="s">
        <v>53</v>
      </c>
      <c r="B40" s="273" t="s">
        <v>47</v>
      </c>
      <c r="C40" s="128">
        <v>102330</v>
      </c>
      <c r="D40" s="272" t="str">
        <f>'Planilha orç.'!D23</f>
        <v>TRANSPORTE COM CAMINHÃO TANQUE DE TRANSPORTE DE MATERIAL ASFÁLTICO DE 30000 L, EM VIA URBANA PAVIMENTADA, DMT ATÉ 30KM (UNIDADE: TXKM). AF_07/2020</v>
      </c>
      <c r="E40" s="272"/>
      <c r="F40" s="272"/>
      <c r="G40" s="286"/>
      <c r="H40" s="286"/>
      <c r="I40" s="286"/>
      <c r="J40" s="272"/>
      <c r="K40" s="265" t="str">
        <f>'Planilha orç.'!E23</f>
        <v>T X KM</v>
      </c>
    </row>
    <row r="41" customHeight="1" spans="1:11">
      <c r="A41" s="270"/>
      <c r="B41" s="273"/>
      <c r="C41" s="128"/>
      <c r="D41" s="272"/>
      <c r="E41" s="272"/>
      <c r="F41" s="272"/>
      <c r="G41" s="272" t="s">
        <v>129</v>
      </c>
      <c r="H41" s="272"/>
      <c r="I41" s="272" t="s">
        <v>130</v>
      </c>
      <c r="J41" s="287" t="s">
        <v>131</v>
      </c>
      <c r="K41" s="265"/>
    </row>
    <row r="42" customHeight="1" spans="1:11">
      <c r="A42" s="270"/>
      <c r="B42" s="273"/>
      <c r="C42" s="128"/>
      <c r="D42" s="272"/>
      <c r="E42" s="272"/>
      <c r="F42" s="272"/>
      <c r="G42" s="272">
        <v>5429.08</v>
      </c>
      <c r="H42" s="272" t="s">
        <v>124</v>
      </c>
      <c r="I42" s="288">
        <v>0.0004</v>
      </c>
      <c r="J42" s="289">
        <f>I42*G42</f>
        <v>2.171632</v>
      </c>
      <c r="K42" s="265"/>
    </row>
    <row r="43" customHeight="1" spans="1:11">
      <c r="A43" s="270"/>
      <c r="B43" s="273"/>
      <c r="C43" s="128"/>
      <c r="D43" s="272"/>
      <c r="E43" s="272"/>
      <c r="F43" s="272"/>
      <c r="G43" s="287" t="s">
        <v>131</v>
      </c>
      <c r="I43" s="290" t="s">
        <v>132</v>
      </c>
      <c r="J43" s="272"/>
      <c r="K43" s="265"/>
    </row>
    <row r="44" customHeight="1" spans="1:11">
      <c r="A44" s="270"/>
      <c r="B44" s="273"/>
      <c r="C44" s="128"/>
      <c r="D44" s="272"/>
      <c r="E44" s="272"/>
      <c r="F44" s="272"/>
      <c r="G44" s="272">
        <f>J42</f>
        <v>2.17</v>
      </c>
      <c r="H44" s="272" t="s">
        <v>133</v>
      </c>
      <c r="I44" s="272">
        <v>30</v>
      </c>
      <c r="J44" s="272"/>
      <c r="K44" s="266">
        <f>I44*G44</f>
        <v>65.1</v>
      </c>
    </row>
    <row r="45" ht="26" customHeight="1" spans="1:11">
      <c r="A45" s="270" t="s">
        <v>56</v>
      </c>
      <c r="B45" s="273" t="s">
        <v>47</v>
      </c>
      <c r="C45" s="128">
        <v>102331</v>
      </c>
      <c r="D45" s="272" t="str">
        <f>'Planilha orç.'!D24</f>
        <v>TRANSPORTE COM CAMINHÃO TANQUE DE TRANSPORTE DE MATERIAL ASFÁLTICO DE 30000 L, EM VIA URBANA PAVIMENTADA, ADICIONAL PARA DMT EXCEDENTE A 30 KM (UNIDADE: TXKM). AF_07/2020</v>
      </c>
      <c r="E45" s="272"/>
      <c r="F45" s="272"/>
      <c r="G45" s="272"/>
      <c r="H45" s="272"/>
      <c r="I45" s="272"/>
      <c r="J45" s="272"/>
      <c r="K45" s="265" t="str">
        <f>'Planilha orç.'!E24</f>
        <v>T X KM</v>
      </c>
    </row>
    <row r="46" customHeight="1" spans="1:11">
      <c r="A46" s="270"/>
      <c r="B46" s="273"/>
      <c r="C46" s="128"/>
      <c r="D46" s="272"/>
      <c r="E46" s="272"/>
      <c r="F46" s="272"/>
      <c r="G46" s="272" t="s">
        <v>129</v>
      </c>
      <c r="H46" s="272"/>
      <c r="I46" s="272" t="s">
        <v>130</v>
      </c>
      <c r="J46" s="287" t="s">
        <v>131</v>
      </c>
      <c r="K46" s="265"/>
    </row>
    <row r="47" customHeight="1" spans="1:11">
      <c r="A47" s="270"/>
      <c r="B47" s="273"/>
      <c r="C47" s="128"/>
      <c r="D47" s="272"/>
      <c r="E47" s="272"/>
      <c r="F47" s="272"/>
      <c r="G47" s="272">
        <v>5429.08</v>
      </c>
      <c r="H47" s="272" t="s">
        <v>124</v>
      </c>
      <c r="I47" s="289">
        <v>0.0004</v>
      </c>
      <c r="J47" s="289">
        <f>G47*I47</f>
        <v>2.171632</v>
      </c>
      <c r="K47" s="265"/>
    </row>
    <row r="48" customHeight="1" spans="1:11">
      <c r="A48" s="270"/>
      <c r="B48" s="273"/>
      <c r="C48" s="128"/>
      <c r="D48" s="272"/>
      <c r="E48" s="272"/>
      <c r="F48" s="272"/>
      <c r="G48" s="287" t="s">
        <v>131</v>
      </c>
      <c r="H48" s="290"/>
      <c r="I48" s="290" t="s">
        <v>132</v>
      </c>
      <c r="J48" s="272"/>
      <c r="K48" s="265"/>
    </row>
    <row r="49" customHeight="1" spans="1:11">
      <c r="A49" s="270"/>
      <c r="B49" s="273"/>
      <c r="C49" s="128"/>
      <c r="D49" s="272"/>
      <c r="E49" s="272"/>
      <c r="F49" s="272"/>
      <c r="G49" s="272">
        <f>J47</f>
        <v>2.17</v>
      </c>
      <c r="H49" s="272" t="s">
        <v>133</v>
      </c>
      <c r="I49" s="272">
        <v>5</v>
      </c>
      <c r="J49" s="272"/>
      <c r="K49" s="266">
        <f>I49*G49</f>
        <v>10.85</v>
      </c>
    </row>
    <row r="50" ht="25" customHeight="1" spans="1:11">
      <c r="A50" s="270" t="s">
        <v>58</v>
      </c>
      <c r="B50" s="273" t="s">
        <v>47</v>
      </c>
      <c r="C50" s="128">
        <v>95995</v>
      </c>
      <c r="D50" s="272" t="str">
        <f>'Planilha orç.'!D25</f>
        <v>EXECUÇÃO DE PAVIMENTO COM APLICAÇÃO DE CONCRETO ASFÁLTICO, CAMADA DE ROLAMENTO - EXCLUSIVE CARGA E TRANSPORTE. AF_11/2019</v>
      </c>
      <c r="E50" s="272"/>
      <c r="F50" s="272"/>
      <c r="G50" s="272"/>
      <c r="H50" s="272"/>
      <c r="I50" s="272"/>
      <c r="J50" s="272"/>
      <c r="K50" s="291" t="s">
        <v>134</v>
      </c>
    </row>
    <row r="51" customHeight="1" spans="1:11">
      <c r="A51" s="267"/>
      <c r="B51" s="292"/>
      <c r="C51" s="293"/>
      <c r="D51" s="272"/>
      <c r="E51" s="272"/>
      <c r="F51" s="272"/>
      <c r="G51" s="272" t="s">
        <v>129</v>
      </c>
      <c r="H51" s="272"/>
      <c r="I51" s="272" t="s">
        <v>135</v>
      </c>
      <c r="J51" s="287"/>
      <c r="K51" s="294"/>
    </row>
    <row r="52" customHeight="1" spans="1:11">
      <c r="A52" s="267"/>
      <c r="B52" s="292"/>
      <c r="C52" s="293"/>
      <c r="D52" s="272"/>
      <c r="E52" s="272"/>
      <c r="F52" s="272"/>
      <c r="G52" s="272">
        <v>5429.08</v>
      </c>
      <c r="H52" s="272" t="s">
        <v>124</v>
      </c>
      <c r="I52" s="289">
        <v>0.04</v>
      </c>
      <c r="J52" s="289"/>
      <c r="K52" s="295"/>
    </row>
    <row r="53" customHeight="1" spans="1:11">
      <c r="A53" s="267"/>
      <c r="B53" s="292"/>
      <c r="C53" s="293"/>
      <c r="D53" s="272"/>
      <c r="E53" s="272"/>
      <c r="F53" s="272"/>
      <c r="G53" s="272"/>
      <c r="H53" s="272"/>
      <c r="I53" s="272"/>
      <c r="J53" s="272"/>
      <c r="K53" s="281">
        <v>217.16</v>
      </c>
    </row>
    <row r="54" customHeight="1" spans="1:11">
      <c r="A54" s="267" t="s">
        <v>61</v>
      </c>
      <c r="B54" s="273" t="s">
        <v>47</v>
      </c>
      <c r="C54" s="128">
        <v>95875</v>
      </c>
      <c r="D54" s="272" t="str">
        <f>'Planilha orç.'!D26</f>
        <v>TRANSPORTE COM CAMINHÃO BASCULANTE DE 10 M³, EM VIA URBANA PAVIMENTADA, DMT ATÉ 30 KM (UNIDADE: M3XKM). AF_07/2020</v>
      </c>
      <c r="E54" s="272"/>
      <c r="F54" s="272"/>
      <c r="G54" s="272"/>
      <c r="H54" s="272"/>
      <c r="I54" s="272"/>
      <c r="J54" s="272"/>
      <c r="K54" s="296" t="s">
        <v>136</v>
      </c>
    </row>
    <row r="55" customHeight="1" spans="1:11">
      <c r="A55" s="267"/>
      <c r="B55" s="292"/>
      <c r="C55" s="293"/>
      <c r="D55" s="272"/>
      <c r="E55" s="272"/>
      <c r="F55" s="272"/>
      <c r="G55" s="272" t="s">
        <v>137</v>
      </c>
      <c r="H55" s="272"/>
      <c r="I55" s="272" t="s">
        <v>138</v>
      </c>
      <c r="J55" s="272"/>
      <c r="K55" s="295"/>
    </row>
    <row r="56" customHeight="1" spans="1:11">
      <c r="A56" s="267"/>
      <c r="B56" s="292"/>
      <c r="C56" s="293"/>
      <c r="D56" s="272"/>
      <c r="E56" s="272"/>
      <c r="F56" s="272"/>
      <c r="G56" s="272">
        <f>K53</f>
        <v>217.16</v>
      </c>
      <c r="H56" s="272" t="s">
        <v>124</v>
      </c>
      <c r="I56" s="289">
        <v>30</v>
      </c>
      <c r="J56" s="272"/>
      <c r="K56" s="295"/>
    </row>
    <row r="57" customHeight="1" spans="1:11">
      <c r="A57" s="267"/>
      <c r="B57" s="292"/>
      <c r="C57" s="293"/>
      <c r="D57" s="272"/>
      <c r="E57" s="272"/>
      <c r="F57" s="272"/>
      <c r="G57" s="272"/>
      <c r="H57" s="272"/>
      <c r="I57" s="272"/>
      <c r="J57" s="272"/>
      <c r="K57" s="281">
        <f>G56*I56</f>
        <v>6514.8</v>
      </c>
    </row>
    <row r="58" customHeight="1" spans="1:11">
      <c r="A58" s="267" t="s">
        <v>64</v>
      </c>
      <c r="B58" s="273" t="s">
        <v>47</v>
      </c>
      <c r="C58" s="128">
        <v>93590</v>
      </c>
      <c r="D58" s="272" t="str">
        <f>'Planilha orç.'!D27</f>
        <v>TRANSPORTE COM CAMINHÃO BASCULANTE DE 10 M³, EM VIA URBANA PAVIMENTADA, ADICIONAL PARA DMT EXCEDENTE A 30 KM (UNIDADE: M3XKM). AF_07/2020</v>
      </c>
      <c r="E58" s="272"/>
      <c r="F58" s="272"/>
      <c r="G58" s="272"/>
      <c r="H58" s="272"/>
      <c r="I58" s="272"/>
      <c r="J58" s="272"/>
      <c r="K58" s="296" t="s">
        <v>136</v>
      </c>
    </row>
    <row r="59" customHeight="1" spans="1:11">
      <c r="A59" s="267"/>
      <c r="B59" s="297"/>
      <c r="C59" s="298"/>
      <c r="D59" s="299"/>
      <c r="E59" s="299"/>
      <c r="F59" s="299"/>
      <c r="G59" s="272" t="s">
        <v>137</v>
      </c>
      <c r="H59" s="272"/>
      <c r="I59" s="272" t="s">
        <v>138</v>
      </c>
      <c r="J59" s="299"/>
      <c r="K59" s="295"/>
    </row>
    <row r="60" customHeight="1" spans="1:11">
      <c r="A60" s="267"/>
      <c r="B60" s="297"/>
      <c r="C60" s="298"/>
      <c r="D60" s="299"/>
      <c r="E60" s="299"/>
      <c r="F60" s="299"/>
      <c r="G60" s="272">
        <f>K53</f>
        <v>217.16</v>
      </c>
      <c r="H60" s="272" t="s">
        <v>124</v>
      </c>
      <c r="I60" s="289">
        <v>5</v>
      </c>
      <c r="J60" s="299"/>
      <c r="K60" s="281">
        <f>G60*I60</f>
        <v>1085.8</v>
      </c>
    </row>
    <row r="61" ht="6" customHeight="1" spans="1:11">
      <c r="A61" s="267"/>
      <c r="B61" s="268"/>
      <c r="C61" s="268"/>
      <c r="D61" s="268"/>
      <c r="E61" s="268"/>
      <c r="F61" s="268"/>
      <c r="G61" s="268"/>
      <c r="H61" s="268"/>
      <c r="I61" s="268"/>
      <c r="J61" s="268"/>
      <c r="K61" s="269"/>
    </row>
    <row r="62" customHeight="1" spans="1:11">
      <c r="A62" s="300">
        <v>4</v>
      </c>
      <c r="B62" s="301" t="str">
        <f>'Planilha orç.'!D28</f>
        <v>CICLOVIA</v>
      </c>
      <c r="C62" s="302"/>
      <c r="D62" s="302"/>
      <c r="E62" s="302"/>
      <c r="F62" s="302"/>
      <c r="G62" s="302"/>
      <c r="H62" s="302"/>
      <c r="I62" s="302"/>
      <c r="J62" s="302"/>
      <c r="K62" s="303"/>
    </row>
    <row r="63" customHeight="1" spans="1:11">
      <c r="A63" s="260" t="s">
        <v>67</v>
      </c>
      <c r="B63" s="128" t="s">
        <v>42</v>
      </c>
      <c r="C63" s="274" t="s">
        <v>68</v>
      </c>
      <c r="D63" s="304" t="str">
        <f>'Planilha orç.'!D29</f>
        <v>LIMPEZA, VARRIÇÃO E PREPARO DA SUPERFÍCIE PARA PINTURA DA CICLOFAIXA.</v>
      </c>
      <c r="E63" s="304"/>
      <c r="F63" s="304"/>
      <c r="G63" s="304"/>
      <c r="H63" s="304"/>
      <c r="I63" s="304"/>
      <c r="J63" s="304"/>
      <c r="K63" s="265" t="str">
        <f>'Planilha orç.'!E29</f>
        <v>M2</v>
      </c>
    </row>
    <row r="64" customHeight="1" spans="1:11">
      <c r="A64" s="260"/>
      <c r="B64" s="128"/>
      <c r="C64" s="274"/>
      <c r="D64" s="304"/>
      <c r="E64" s="304"/>
      <c r="F64" s="304"/>
      <c r="G64" s="272" t="s">
        <v>121</v>
      </c>
      <c r="H64" s="272"/>
      <c r="I64" s="272" t="s">
        <v>126</v>
      </c>
      <c r="J64" s="304"/>
      <c r="K64" s="265"/>
    </row>
    <row r="65" customHeight="1" spans="1:11">
      <c r="A65" s="260"/>
      <c r="B65" s="128"/>
      <c r="C65" s="274"/>
      <c r="D65" s="304"/>
      <c r="E65" s="304"/>
      <c r="F65" s="304"/>
      <c r="G65" s="272">
        <v>1690.12</v>
      </c>
      <c r="H65" s="272" t="s">
        <v>124</v>
      </c>
      <c r="I65" s="305">
        <v>2</v>
      </c>
      <c r="J65" s="304"/>
      <c r="K65" s="266">
        <f>I65*G65</f>
        <v>3380.24</v>
      </c>
    </row>
    <row r="66" customHeight="1" spans="1:11">
      <c r="A66" s="260" t="s">
        <v>70</v>
      </c>
      <c r="B66" s="128" t="s">
        <v>47</v>
      </c>
      <c r="C66" s="273">
        <v>102491</v>
      </c>
      <c r="D66" s="272" t="str">
        <f>'Planilha orç.'!D30</f>
        <v>EXECUÇÃO DE PINTURA DE SINALIZAÇÃO HORIZONTAL (NA COR VERMELHA), INCLUSIVE FORNECIMENTO DE TINTA ACRÍLICA PARA PAVIMENTAÇÃO, APLICAÇÃO E ACABAMENTO)</v>
      </c>
      <c r="E66" s="272"/>
      <c r="F66" s="272"/>
      <c r="G66" s="272"/>
      <c r="H66" s="272"/>
      <c r="I66" s="272"/>
      <c r="J66" s="272"/>
      <c r="K66" s="265" t="str">
        <f>'Planilha orç.'!E30</f>
        <v>M2</v>
      </c>
    </row>
    <row r="67" customHeight="1" spans="1:11">
      <c r="A67" s="260"/>
      <c r="B67" s="128"/>
      <c r="C67" s="273"/>
      <c r="D67" s="272"/>
      <c r="E67" s="272"/>
      <c r="F67" s="272"/>
      <c r="G67" s="272" t="s">
        <v>121</v>
      </c>
      <c r="H67" s="272"/>
      <c r="I67" s="272" t="s">
        <v>126</v>
      </c>
      <c r="J67" s="272"/>
      <c r="K67" s="265"/>
    </row>
    <row r="68" customHeight="1" spans="1:11">
      <c r="A68" s="260"/>
      <c r="B68" s="128"/>
      <c r="C68" s="273"/>
      <c r="D68" s="272"/>
      <c r="E68" s="272"/>
      <c r="F68" s="272"/>
      <c r="G68" s="272">
        <v>1690.12</v>
      </c>
      <c r="H68" s="272" t="s">
        <v>124</v>
      </c>
      <c r="I68" s="305">
        <v>2</v>
      </c>
      <c r="J68" s="272"/>
      <c r="K68" s="266">
        <f>I68*G68</f>
        <v>3380.24</v>
      </c>
    </row>
    <row r="69" customHeight="1" spans="1:11">
      <c r="A69" s="260" t="s">
        <v>72</v>
      </c>
      <c r="B69" s="128" t="s">
        <v>73</v>
      </c>
      <c r="C69" s="273" t="str">
        <f>'Planilha orç.'!C31</f>
        <v>FORNECEDOR</v>
      </c>
      <c r="D69" s="272" t="str">
        <f>'Planilha orç.'!D31</f>
        <v>FORNECIMENTO E INSTALAÇÃO DE TACHÕES REFLETIVOS AMARELOS (46 X 14 X 12 CM), INCLUSIVE FIXAÇÃO COM ADESIVO E PREPARO DA SUPERFÍCIE.</v>
      </c>
      <c r="E69" s="272"/>
      <c r="F69" s="272"/>
      <c r="G69" s="272"/>
      <c r="H69" s="272"/>
      <c r="I69" s="272"/>
      <c r="J69" s="272"/>
      <c r="K69" s="265" t="str">
        <f>'Planilha orç.'!E31</f>
        <v>UN </v>
      </c>
    </row>
    <row r="70" ht="25" customHeight="1" spans="1:11">
      <c r="A70" s="260"/>
      <c r="B70" s="128"/>
      <c r="C70" s="273"/>
      <c r="D70" s="272"/>
      <c r="E70" s="272"/>
      <c r="F70" s="272"/>
      <c r="G70" s="272" t="s">
        <v>121</v>
      </c>
      <c r="H70" s="272"/>
      <c r="I70" s="272" t="s">
        <v>139</v>
      </c>
      <c r="J70" s="272"/>
      <c r="K70" s="265"/>
    </row>
    <row r="71" customHeight="1" spans="1:11">
      <c r="A71" s="260"/>
      <c r="B71" s="128"/>
      <c r="C71" s="273"/>
      <c r="D71" s="272"/>
      <c r="E71" s="272"/>
      <c r="F71" s="272"/>
      <c r="G71" s="272">
        <v>1690.12</v>
      </c>
      <c r="H71" s="306" t="s">
        <v>140</v>
      </c>
      <c r="I71" s="289">
        <v>2.46</v>
      </c>
      <c r="J71" s="272"/>
      <c r="K71" s="307"/>
    </row>
    <row r="72" customHeight="1" spans="1:11">
      <c r="A72" s="260"/>
      <c r="B72" s="128"/>
      <c r="C72" s="273"/>
      <c r="D72" s="272"/>
      <c r="E72" s="272"/>
      <c r="F72" s="272"/>
      <c r="G72" s="272"/>
      <c r="H72" s="272"/>
      <c r="I72" s="289"/>
      <c r="J72" s="272"/>
      <c r="K72" s="266">
        <v>688</v>
      </c>
    </row>
    <row r="73" customHeight="1" spans="1:11">
      <c r="A73" s="260" t="s">
        <v>77</v>
      </c>
      <c r="B73" s="128" t="s">
        <v>47</v>
      </c>
      <c r="C73" s="273">
        <v>102492</v>
      </c>
      <c r="D73" s="272" t="str">
        <f>'Planilha orç.'!D32</f>
        <v>PINTURA DE SÍMBOLOS E TEXTOS COM TINTA ACRÍLICA( símbolo de bicicleta na ciclofaixa e "acesso de veículos" nas entradas, inclusive marcação, gabarito e aplicação de tinta.)</v>
      </c>
      <c r="E73" s="272"/>
      <c r="F73" s="272"/>
      <c r="G73" s="272"/>
      <c r="H73" s="272"/>
      <c r="I73" s="272"/>
      <c r="J73" s="272"/>
      <c r="K73" s="307" t="s">
        <v>141</v>
      </c>
    </row>
    <row r="74" ht="25" customHeight="1" spans="1:11">
      <c r="A74" s="260"/>
      <c r="B74" s="128"/>
      <c r="C74" s="273"/>
      <c r="D74" s="272"/>
      <c r="E74" s="272" t="s">
        <v>121</v>
      </c>
      <c r="F74" s="272"/>
      <c r="G74" s="272" t="s">
        <v>142</v>
      </c>
      <c r="I74" s="272" t="s">
        <v>143</v>
      </c>
      <c r="J74" s="272"/>
      <c r="K74" s="307"/>
    </row>
    <row r="75" customHeight="1" spans="1:11">
      <c r="A75" s="260"/>
      <c r="B75" s="128"/>
      <c r="C75" s="273"/>
      <c r="D75" s="272"/>
      <c r="E75" s="272">
        <v>1690.12</v>
      </c>
      <c r="F75" s="306" t="s">
        <v>140</v>
      </c>
      <c r="G75" s="289">
        <v>50</v>
      </c>
      <c r="H75" s="135" t="s">
        <v>124</v>
      </c>
      <c r="I75" s="135" t="s">
        <v>144</v>
      </c>
      <c r="J75" s="272"/>
      <c r="K75" s="307" t="s">
        <v>145</v>
      </c>
    </row>
    <row r="76" ht="40" customHeight="1" spans="1:11">
      <c r="A76" s="260"/>
      <c r="B76" s="128"/>
      <c r="C76" s="273"/>
      <c r="D76" s="272"/>
      <c r="E76" s="272"/>
      <c r="F76" s="272"/>
      <c r="G76" s="272"/>
      <c r="I76" s="272" t="s">
        <v>146</v>
      </c>
      <c r="J76" s="272"/>
      <c r="K76" s="307"/>
    </row>
    <row r="77" ht="31" customHeight="1" spans="1:11">
      <c r="A77" s="260"/>
      <c r="B77" s="128"/>
      <c r="C77" s="273"/>
      <c r="D77" s="272"/>
      <c r="E77" s="272"/>
      <c r="F77" s="306"/>
      <c r="G77" s="289"/>
      <c r="H77" s="135" t="s">
        <v>124</v>
      </c>
      <c r="I77" s="135" t="s">
        <v>147</v>
      </c>
      <c r="J77" s="272"/>
      <c r="K77" s="307">
        <v>22</v>
      </c>
    </row>
    <row r="78" ht="31" customHeight="1" spans="1:11">
      <c r="A78" s="260"/>
      <c r="B78" s="128"/>
      <c r="C78" s="273"/>
      <c r="D78" s="272"/>
      <c r="E78" s="272"/>
      <c r="F78" s="306"/>
      <c r="G78" s="289"/>
      <c r="H78" s="135"/>
      <c r="I78" s="135"/>
      <c r="J78" s="272"/>
      <c r="K78" s="266">
        <v>56</v>
      </c>
    </row>
    <row r="79" ht="27" customHeight="1" spans="1:11">
      <c r="A79" s="260" t="s">
        <v>79</v>
      </c>
      <c r="B79" s="128" t="s">
        <v>47</v>
      </c>
      <c r="C79" s="273">
        <v>102512</v>
      </c>
      <c r="D79" s="272" t="str">
        <f>'Planilha orç.'!D33</f>
        <v>PINTURA DE EIXO VIÁRIO SOBRE ASFALTO COM TINTA RETRORREFLETIVA A BASE DE RESINA ACRÍLICA COM MICROESFERAS DE VIDRO(na cor branca, aplicada previamente à instalação dos tachões, garantindo melhor visibilidade e aderência)</v>
      </c>
      <c r="E79" s="272"/>
      <c r="F79" s="272"/>
      <c r="G79" s="272"/>
      <c r="H79" s="272"/>
      <c r="I79" s="272"/>
      <c r="J79" s="272"/>
      <c r="K79" s="265" t="str">
        <f>'Planilha orç.'!E33</f>
        <v>M</v>
      </c>
    </row>
    <row r="80" customHeight="1" spans="1:11">
      <c r="A80" s="260"/>
      <c r="B80" s="261"/>
      <c r="C80" s="272"/>
      <c r="D80" s="272"/>
      <c r="E80" s="272"/>
      <c r="F80" s="272"/>
      <c r="G80" s="272" t="s">
        <v>121</v>
      </c>
      <c r="H80" s="272"/>
      <c r="I80" s="272"/>
      <c r="J80" s="272"/>
      <c r="K80" s="265"/>
    </row>
    <row r="81" customHeight="1" spans="1:11">
      <c r="A81" s="260"/>
      <c r="B81" s="261"/>
      <c r="C81" s="272"/>
      <c r="D81" s="272"/>
      <c r="E81" s="272"/>
      <c r="F81" s="272"/>
      <c r="G81" s="272">
        <v>1690.12</v>
      </c>
      <c r="H81" s="272"/>
      <c r="I81" s="272"/>
      <c r="J81" s="272"/>
      <c r="K81" s="308">
        <v>1690.12</v>
      </c>
    </row>
    <row r="82" customHeight="1" spans="1:11">
      <c r="A82" s="300">
        <v>5</v>
      </c>
      <c r="B82" s="309" t="str">
        <f>'Planilha orç.'!D34</f>
        <v>ASSENTAMENTO DE MEIO-FIO</v>
      </c>
      <c r="C82" s="309"/>
      <c r="D82" s="309"/>
      <c r="E82" s="309"/>
      <c r="F82" s="309"/>
      <c r="G82" s="309"/>
      <c r="H82" s="309"/>
      <c r="I82" s="309"/>
      <c r="J82" s="309"/>
      <c r="K82" s="266"/>
    </row>
    <row r="83" ht="26" customHeight="1" spans="1:11">
      <c r="A83" s="260" t="s">
        <v>83</v>
      </c>
      <c r="B83" s="128" t="s">
        <v>42</v>
      </c>
      <c r="C83" s="128" t="s">
        <v>148</v>
      </c>
      <c r="D83" s="272" t="str">
        <f>'Planilha orç.'!D35</f>
        <v>DEMOLIÇÃO PARCIAL DE PAVIMENTO ASFÁLTICO, DE FORMA MECANIZADA, SEM REAPROVEITAMENTO. AF_09/2023</v>
      </c>
      <c r="E83" s="272"/>
      <c r="F83" s="272"/>
      <c r="G83" s="272"/>
      <c r="H83" s="272"/>
      <c r="I83" s="272"/>
      <c r="J83" s="272"/>
      <c r="K83" s="265" t="s">
        <v>37</v>
      </c>
    </row>
    <row r="84" customHeight="1" spans="1:11">
      <c r="A84" s="260"/>
      <c r="B84" s="128"/>
      <c r="C84" s="128"/>
      <c r="D84" s="272"/>
      <c r="E84" s="306" t="s">
        <v>149</v>
      </c>
      <c r="F84" s="306"/>
      <c r="G84" s="306"/>
      <c r="H84" s="306"/>
      <c r="I84" s="272" t="s">
        <v>150</v>
      </c>
      <c r="J84" s="272"/>
      <c r="K84" s="265"/>
    </row>
    <row r="85" customHeight="1" spans="1:11">
      <c r="A85" s="260"/>
      <c r="B85" s="128"/>
      <c r="C85" s="128"/>
      <c r="D85" s="272"/>
      <c r="E85" s="272"/>
      <c r="G85" s="272">
        <v>1690.12</v>
      </c>
      <c r="H85" s="272" t="s">
        <v>151</v>
      </c>
      <c r="I85" s="272">
        <v>0.4</v>
      </c>
      <c r="J85" s="272"/>
      <c r="K85" s="266">
        <v>676.05</v>
      </c>
    </row>
    <row r="86" ht="26" customHeight="1" spans="1:11">
      <c r="A86" s="260" t="s">
        <v>85</v>
      </c>
      <c r="B86" s="128" t="s">
        <v>47</v>
      </c>
      <c r="C86" s="128">
        <v>94273</v>
      </c>
      <c r="D86" s="284" t="str">
        <f>'Planilha orç.'!D36</f>
        <v>CARGA E TRANSPORTE DO MATERIAL DEMOLIDO</v>
      </c>
      <c r="E86" s="272"/>
      <c r="F86" s="272"/>
      <c r="G86" s="272"/>
      <c r="H86" s="272"/>
      <c r="I86" s="272"/>
      <c r="J86" s="272"/>
      <c r="K86" s="265" t="s">
        <v>60</v>
      </c>
    </row>
    <row r="87" customHeight="1" spans="1:11">
      <c r="A87" s="260"/>
      <c r="B87" s="128"/>
      <c r="C87" s="310"/>
      <c r="D87" s="311"/>
      <c r="E87" s="312" t="s">
        <v>152</v>
      </c>
      <c r="F87" s="306"/>
      <c r="G87" s="306"/>
      <c r="H87" s="306"/>
      <c r="I87" s="272"/>
      <c r="J87" s="272"/>
      <c r="K87" s="265"/>
    </row>
    <row r="88" ht="26" customHeight="1" spans="1:11">
      <c r="A88" s="260"/>
      <c r="B88" s="128"/>
      <c r="C88" s="313"/>
      <c r="D88" s="314" t="s">
        <v>153</v>
      </c>
      <c r="E88" s="315"/>
      <c r="G88" s="284">
        <f>K85</f>
        <v>676.05</v>
      </c>
      <c r="H88" s="284" t="s">
        <v>151</v>
      </c>
      <c r="I88" s="316">
        <v>0.05</v>
      </c>
      <c r="J88" s="272">
        <f>I88*G88</f>
        <v>33.8</v>
      </c>
      <c r="K88" s="266">
        <f>G88*I88</f>
        <v>33.8</v>
      </c>
    </row>
    <row r="89" customHeight="1" spans="1:11">
      <c r="A89" s="260"/>
      <c r="B89" s="310"/>
      <c r="C89" s="317"/>
      <c r="D89" s="318"/>
      <c r="E89" s="319"/>
      <c r="G89" s="319"/>
      <c r="H89" s="319"/>
      <c r="I89" s="320"/>
      <c r="J89" s="321"/>
      <c r="K89" s="285"/>
    </row>
    <row r="90" customHeight="1" spans="1:11">
      <c r="A90" s="322" t="s">
        <v>88</v>
      </c>
      <c r="B90" s="310" t="s">
        <v>47</v>
      </c>
      <c r="C90" s="323">
        <v>94265</v>
      </c>
      <c r="D90" s="324" t="s">
        <v>89</v>
      </c>
      <c r="E90" s="325"/>
      <c r="F90" s="326"/>
      <c r="G90" s="326"/>
      <c r="H90" s="326"/>
      <c r="I90" s="325"/>
      <c r="J90" s="321"/>
      <c r="K90" s="307" t="s">
        <v>81</v>
      </c>
    </row>
    <row r="91" customHeight="1" spans="1:11">
      <c r="A91" s="322"/>
      <c r="B91" s="310"/>
      <c r="C91" s="327"/>
      <c r="D91" s="324"/>
      <c r="E91" s="312" t="s">
        <v>154</v>
      </c>
      <c r="F91" s="306"/>
      <c r="G91" s="306"/>
      <c r="H91" s="306"/>
      <c r="I91" s="272"/>
      <c r="J91" s="321"/>
      <c r="K91" s="285"/>
    </row>
    <row r="92" customHeight="1" spans="1:11">
      <c r="A92" s="322"/>
      <c r="B92" s="310"/>
      <c r="C92" s="328"/>
      <c r="D92" s="329"/>
      <c r="E92" s="315"/>
      <c r="G92" s="284">
        <v>1690.12</v>
      </c>
      <c r="H92" s="284"/>
      <c r="I92" s="316"/>
      <c r="J92" s="321"/>
      <c r="K92" s="285"/>
    </row>
    <row r="93" customHeight="1" spans="1:11">
      <c r="A93" s="322"/>
      <c r="B93" s="310"/>
      <c r="C93" s="330"/>
      <c r="D93" s="331"/>
      <c r="E93" s="332"/>
      <c r="F93" s="333"/>
      <c r="G93" s="334"/>
      <c r="H93" s="335"/>
      <c r="I93" s="335"/>
      <c r="J93" s="321"/>
      <c r="K93" s="266">
        <v>1690.12</v>
      </c>
    </row>
    <row r="94" customHeight="1" spans="1:11">
      <c r="A94" s="322" t="s">
        <v>90</v>
      </c>
      <c r="B94" s="310" t="s">
        <v>47</v>
      </c>
      <c r="C94" s="336">
        <v>102498</v>
      </c>
      <c r="D94" s="337" t="s">
        <v>91</v>
      </c>
      <c r="E94" s="338"/>
      <c r="F94" s="339"/>
      <c r="G94" s="339"/>
      <c r="H94" s="340"/>
      <c r="I94" s="341"/>
      <c r="J94" s="315"/>
      <c r="K94" s="307" t="s">
        <v>81</v>
      </c>
    </row>
    <row r="95" customHeight="1" spans="1:11">
      <c r="A95" s="260"/>
      <c r="B95" s="310"/>
      <c r="C95" s="327"/>
      <c r="D95" s="342"/>
      <c r="E95" s="343"/>
      <c r="F95" s="344"/>
      <c r="G95" s="345"/>
      <c r="H95" s="346"/>
      <c r="I95" s="347"/>
      <c r="J95" s="348"/>
      <c r="K95" s="295"/>
    </row>
    <row r="96" customHeight="1" spans="1:11">
      <c r="A96" s="260"/>
      <c r="B96" s="310"/>
      <c r="C96" s="327"/>
      <c r="D96" s="349"/>
      <c r="E96" s="350"/>
      <c r="F96" s="351"/>
      <c r="G96" s="352">
        <f>G92</f>
        <v>1690.12</v>
      </c>
      <c r="H96" s="353" t="s">
        <v>124</v>
      </c>
      <c r="I96" s="354">
        <v>2</v>
      </c>
      <c r="J96" s="355"/>
      <c r="K96" s="295"/>
    </row>
    <row r="97" customHeight="1" spans="1:11">
      <c r="A97" s="260"/>
      <c r="B97" s="310"/>
      <c r="C97" s="356"/>
      <c r="D97" s="342"/>
      <c r="E97" s="357"/>
      <c r="F97" s="358"/>
      <c r="G97" s="359"/>
      <c r="H97" s="360"/>
      <c r="I97" s="361"/>
      <c r="J97" s="362"/>
      <c r="K97" s="281">
        <f>I96*G96</f>
        <v>3380.24</v>
      </c>
    </row>
    <row r="98" customHeight="1" spans="1:11">
      <c r="A98" s="300">
        <v>6</v>
      </c>
      <c r="B98" s="309" t="str">
        <f>'Planilha orç.'!D39</f>
        <v>CANTEIROS</v>
      </c>
      <c r="C98" s="363"/>
      <c r="D98" s="363"/>
      <c r="E98" s="363"/>
      <c r="F98" s="363"/>
      <c r="G98" s="363"/>
      <c r="H98" s="363"/>
      <c r="I98" s="363"/>
      <c r="J98" s="363"/>
      <c r="K98" s="266"/>
    </row>
    <row r="99" customHeight="1" spans="1:11">
      <c r="A99" s="260" t="s">
        <v>93</v>
      </c>
      <c r="B99" s="128" t="s">
        <v>47</v>
      </c>
      <c r="C99" s="128">
        <v>98524</v>
      </c>
      <c r="D99" s="272" t="str">
        <f>'Planilha orç.'!D40</f>
        <v>LIMPEZA MANUAL DE VEGETAÇÃO EM TERRENO COM ENXADA. AF_03/2024</v>
      </c>
      <c r="E99" s="272"/>
      <c r="F99" s="272"/>
      <c r="G99" s="272"/>
      <c r="H99" s="272"/>
      <c r="I99" s="272"/>
      <c r="J99" s="272"/>
      <c r="K99" s="265" t="str">
        <f>'Planilha orç.'!E40</f>
        <v>M2</v>
      </c>
    </row>
    <row r="100" customHeight="1" spans="1:11">
      <c r="A100" s="260"/>
      <c r="D100" s="272"/>
      <c r="E100" s="272"/>
      <c r="F100" s="272"/>
      <c r="G100" s="306" t="s">
        <v>155</v>
      </c>
      <c r="H100" s="306"/>
      <c r="I100" s="272"/>
      <c r="J100" s="272"/>
      <c r="K100" s="266">
        <v>2704.91</v>
      </c>
    </row>
    <row r="101" customHeight="1" spans="1:11">
      <c r="A101" s="260" t="s">
        <v>95</v>
      </c>
      <c r="B101" s="274" t="s">
        <v>25</v>
      </c>
      <c r="C101" s="274" t="s">
        <v>96</v>
      </c>
      <c r="D101" s="272" t="str">
        <f>'Planilha orç.'!D41</f>
        <v>PLANTIO DE MUDAS PARA RECOMPOSIÇÃO DE CANTEIROS</v>
      </c>
      <c r="E101" s="272"/>
      <c r="F101" s="272"/>
      <c r="G101" s="272"/>
      <c r="H101" s="272"/>
      <c r="I101" s="272"/>
      <c r="J101" s="272"/>
      <c r="K101" s="265" t="str">
        <f>'Planilha orç.'!E41</f>
        <v>M2</v>
      </c>
    </row>
    <row r="102" customHeight="1" spans="1:11">
      <c r="A102" s="260"/>
      <c r="B102" s="261"/>
      <c r="C102" s="272"/>
      <c r="D102" s="306" t="s">
        <v>156</v>
      </c>
      <c r="E102" s="306"/>
      <c r="F102" s="306"/>
      <c r="G102" s="306"/>
      <c r="H102" s="306"/>
      <c r="I102" s="306"/>
      <c r="J102" s="272"/>
      <c r="K102" s="265"/>
    </row>
    <row r="103" customHeight="1" spans="1:11">
      <c r="A103" s="260"/>
      <c r="B103" s="261"/>
      <c r="C103" s="272"/>
      <c r="D103" s="272"/>
      <c r="E103" s="77" t="s">
        <v>121</v>
      </c>
      <c r="F103" s="272"/>
      <c r="G103" s="272" t="s">
        <v>157</v>
      </c>
      <c r="H103" s="272"/>
      <c r="I103" s="272"/>
      <c r="J103" s="272"/>
      <c r="K103" s="285"/>
    </row>
    <row r="104" customFormat="1" customHeight="1" spans="1:11">
      <c r="A104" s="260"/>
      <c r="B104" s="364"/>
      <c r="C104" s="299"/>
      <c r="D104" s="299"/>
      <c r="E104" s="299">
        <v>3</v>
      </c>
      <c r="F104" s="299" t="s">
        <v>124</v>
      </c>
      <c r="G104" s="272">
        <v>18.52</v>
      </c>
      <c r="H104" s="299"/>
      <c r="I104" s="299"/>
      <c r="J104" s="299"/>
      <c r="K104" s="295"/>
    </row>
    <row r="105" customFormat="1" customHeight="1" spans="1:11">
      <c r="A105" s="260"/>
      <c r="B105" s="364"/>
      <c r="C105" s="299"/>
      <c r="D105" s="365"/>
      <c r="E105" s="299"/>
      <c r="F105" s="299"/>
      <c r="G105" s="299"/>
      <c r="H105" s="299"/>
      <c r="I105" s="299"/>
      <c r="J105" s="299"/>
      <c r="K105" s="281">
        <v>55.56</v>
      </c>
    </row>
    <row r="106" s="74" customFormat="1" spans="1:11">
      <c r="A106" s="278">
        <f>'Planilha orç.'!A42</f>
        <v>7</v>
      </c>
      <c r="B106" s="279" t="str">
        <f>'Planilha orç.'!D42</f>
        <v>SERVIÇOS COMPLEMENTARES</v>
      </c>
      <c r="C106" s="280">
        <f>'Planilha orç.'!C42</f>
        <v>0</v>
      </c>
      <c r="D106" s="280" t="str">
        <f>'Planilha orç.'!D42</f>
        <v>SERVIÇOS COMPLEMENTARES</v>
      </c>
      <c r="E106" s="280"/>
      <c r="F106" s="280"/>
      <c r="G106" s="280"/>
      <c r="H106" s="280"/>
      <c r="I106" s="280"/>
      <c r="J106" s="280"/>
      <c r="K106" s="281">
        <f>'Planilha orç.'!E42</f>
        <v>0</v>
      </c>
    </row>
    <row r="107" s="76" customFormat="1" ht="27" spans="1:11">
      <c r="A107" s="366" t="str">
        <f>'Planilha orç.'!A43</f>
        <v>7.1</v>
      </c>
      <c r="B107" s="274" t="s">
        <v>25</v>
      </c>
      <c r="C107" s="274" t="s">
        <v>100</v>
      </c>
      <c r="D107" s="367" t="str">
        <f>'Planilha orç.'!D43</f>
        <v>FORNECIMENTO E INSTALAÇÃO DE BEBEDOURO EM AÇO INOX PARA USO EXTERNO, COM BASE EM CONCRETO E LIGAÇÃO HIDRÁULICA E ELÉTRICA COMPLETAS.</v>
      </c>
      <c r="E107" s="367"/>
      <c r="F107" s="367"/>
      <c r="G107" s="367"/>
      <c r="H107" s="367"/>
      <c r="I107" s="367"/>
      <c r="J107" s="367"/>
      <c r="K107" s="368" t="str">
        <f>'Planilha orç.'!E43</f>
        <v>UN </v>
      </c>
    </row>
    <row r="108" s="76" customFormat="1" ht="13.5" spans="1:11">
      <c r="A108" s="369"/>
      <c r="B108" s="370"/>
      <c r="C108" s="370"/>
      <c r="D108" s="371" t="s">
        <v>158</v>
      </c>
      <c r="E108" s="371"/>
      <c r="F108" s="371"/>
      <c r="G108" s="371"/>
      <c r="H108" s="371"/>
      <c r="I108" s="371"/>
      <c r="J108" s="371"/>
      <c r="K108" s="372"/>
    </row>
    <row r="109" s="76" customFormat="1" ht="13.5" spans="1:11">
      <c r="A109" s="369"/>
      <c r="B109" s="370"/>
      <c r="C109" s="370"/>
      <c r="D109" s="371" t="s">
        <v>159</v>
      </c>
      <c r="E109" s="371"/>
      <c r="F109" s="371"/>
      <c r="G109" s="371"/>
      <c r="H109" s="371"/>
      <c r="I109" s="371"/>
      <c r="J109" s="373"/>
      <c r="K109" s="372"/>
    </row>
    <row r="110" s="76" customFormat="1" ht="13.5" spans="1:11">
      <c r="A110" s="369"/>
      <c r="B110" s="370"/>
      <c r="C110" s="370"/>
      <c r="D110" s="371" t="s">
        <v>160</v>
      </c>
      <c r="E110" s="371"/>
      <c r="F110" s="371"/>
      <c r="G110" s="371"/>
      <c r="H110" s="371"/>
      <c r="I110" s="371"/>
      <c r="J110" s="371"/>
      <c r="K110" s="374">
        <v>1</v>
      </c>
    </row>
    <row r="111" s="76" customFormat="1" ht="30" customHeight="1" spans="1:11">
      <c r="A111" s="375" t="s">
        <v>102</v>
      </c>
      <c r="B111" s="376" t="s">
        <v>25</v>
      </c>
      <c r="C111" s="376" t="s">
        <v>103</v>
      </c>
      <c r="D111" s="377" t="str">
        <f>'Planilha orç.'!D44</f>
        <v>FORNECIMENTO E INSTALAÇÃO DE LIXEIRA METÁLICA PARA ÁREA EXTERNA, CAPACIDADE MÍNIMA 50L, FIXADA EM BASE DE CONCRETO FCK 20 MPA.</v>
      </c>
      <c r="E111" s="377"/>
      <c r="F111" s="377"/>
      <c r="G111" s="377"/>
      <c r="H111" s="377"/>
      <c r="I111" s="377"/>
      <c r="J111" s="377"/>
      <c r="K111" s="378" t="str">
        <f>'Planilha orç.'!E44</f>
        <v>UN </v>
      </c>
    </row>
    <row r="112" ht="25.5" customHeight="1" spans="1:11">
      <c r="A112" s="379"/>
      <c r="B112" s="380"/>
      <c r="C112" s="380"/>
      <c r="D112" s="381" t="s">
        <v>161</v>
      </c>
      <c r="E112" s="381"/>
      <c r="F112" s="381"/>
      <c r="G112" s="381"/>
      <c r="H112" s="381"/>
      <c r="I112" s="381"/>
      <c r="J112" s="381"/>
      <c r="K112" s="382"/>
    </row>
    <row r="113" spans="1:11">
      <c r="A113" s="379"/>
      <c r="B113" s="380"/>
      <c r="C113" s="380"/>
      <c r="D113" s="381" t="s">
        <v>162</v>
      </c>
      <c r="E113" s="381"/>
      <c r="F113" s="381"/>
      <c r="G113" s="381"/>
      <c r="H113" s="381"/>
      <c r="I113" s="381"/>
      <c r="J113" s="381"/>
      <c r="K113" s="383"/>
    </row>
    <row r="114" spans="1:11">
      <c r="A114" s="379"/>
      <c r="B114" s="380"/>
      <c r="C114" s="380"/>
      <c r="D114" s="384" t="s">
        <v>163</v>
      </c>
      <c r="E114" s="384"/>
      <c r="F114" s="384"/>
      <c r="G114" s="384"/>
      <c r="H114" s="384"/>
      <c r="I114" s="384"/>
      <c r="J114" s="384"/>
      <c r="K114" s="385"/>
    </row>
    <row r="115" spans="1:11">
      <c r="A115" s="379"/>
      <c r="B115" s="380"/>
      <c r="C115" s="380"/>
      <c r="D115" s="381" t="s">
        <v>164</v>
      </c>
      <c r="E115" s="381"/>
      <c r="F115" s="381"/>
      <c r="G115" s="381"/>
      <c r="H115" s="381"/>
      <c r="I115" s="381"/>
      <c r="J115" s="381"/>
      <c r="K115" s="383"/>
    </row>
    <row r="116" spans="1:11">
      <c r="A116" s="379"/>
      <c r="B116" s="380"/>
      <c r="C116" s="380"/>
      <c r="D116" s="384" t="s">
        <v>165</v>
      </c>
      <c r="E116" s="384"/>
      <c r="F116" s="384"/>
      <c r="G116" s="384"/>
      <c r="H116" s="384"/>
      <c r="I116" s="384"/>
      <c r="J116" s="384"/>
      <c r="K116" s="385"/>
    </row>
    <row r="117" ht="25.5" customHeight="1" spans="1:11">
      <c r="A117" s="379"/>
      <c r="B117" s="380"/>
      <c r="C117" s="380"/>
      <c r="D117" s="381" t="s">
        <v>166</v>
      </c>
      <c r="E117" s="381"/>
      <c r="F117" s="381"/>
      <c r="G117" s="381"/>
      <c r="H117" s="381"/>
      <c r="I117" s="381"/>
      <c r="J117" s="381"/>
      <c r="K117" s="383"/>
    </row>
    <row r="118" ht="25.5" customHeight="1" spans="1:11">
      <c r="A118" s="379"/>
      <c r="B118" s="380"/>
      <c r="C118" s="380"/>
      <c r="D118" s="384" t="s">
        <v>167</v>
      </c>
      <c r="E118" s="384"/>
      <c r="F118" s="384"/>
      <c r="G118" s="384"/>
      <c r="H118" s="384"/>
      <c r="I118" s="384"/>
      <c r="J118" s="384"/>
      <c r="K118" s="383"/>
    </row>
    <row r="119" spans="1:11">
      <c r="A119" s="379"/>
      <c r="B119" s="380"/>
      <c r="C119" s="380"/>
      <c r="D119" s="381" t="s">
        <v>168</v>
      </c>
      <c r="E119" s="381"/>
      <c r="F119" s="381"/>
      <c r="G119" s="381"/>
      <c r="H119" s="381"/>
      <c r="I119" s="381"/>
      <c r="J119" s="381"/>
      <c r="K119" s="383"/>
    </row>
    <row r="120" spans="1:11">
      <c r="A120" s="379"/>
      <c r="B120" s="380"/>
      <c r="C120" s="380"/>
      <c r="D120" s="384"/>
      <c r="E120" s="384"/>
      <c r="F120" s="384"/>
      <c r="G120" s="384"/>
      <c r="H120" s="384"/>
      <c r="I120" s="384"/>
      <c r="J120" s="384"/>
      <c r="K120" s="383"/>
    </row>
    <row r="121" spans="1:11">
      <c r="A121" s="379"/>
      <c r="B121" s="380"/>
      <c r="C121" s="380"/>
      <c r="D121" s="381" t="s">
        <v>169</v>
      </c>
      <c r="E121" s="381"/>
      <c r="F121" s="381"/>
      <c r="G121" s="381"/>
      <c r="H121" s="381"/>
      <c r="I121" s="381"/>
      <c r="J121" s="381"/>
      <c r="K121" s="383"/>
    </row>
    <row r="122" spans="1:11">
      <c r="A122" s="379"/>
      <c r="B122" s="380"/>
      <c r="C122" s="380"/>
      <c r="D122" s="384"/>
      <c r="E122" s="384"/>
      <c r="F122" s="384"/>
      <c r="G122" s="384"/>
      <c r="H122" s="384"/>
      <c r="I122" s="384"/>
      <c r="J122" s="384"/>
      <c r="K122" s="383"/>
    </row>
    <row r="123" spans="1:11">
      <c r="A123" s="379"/>
      <c r="B123" s="380"/>
      <c r="C123" s="380"/>
      <c r="D123" s="381" t="s">
        <v>170</v>
      </c>
      <c r="E123" s="381"/>
      <c r="F123" s="381"/>
      <c r="G123" s="381"/>
      <c r="H123" s="381"/>
      <c r="I123" s="381"/>
      <c r="J123" s="381"/>
      <c r="K123" s="383"/>
    </row>
    <row r="124" spans="1:11">
      <c r="A124" s="379"/>
      <c r="B124" s="380"/>
      <c r="C124" s="380"/>
      <c r="D124" s="384" t="s">
        <v>163</v>
      </c>
      <c r="E124" s="384"/>
      <c r="F124" s="384"/>
      <c r="G124" s="384"/>
      <c r="H124" s="384"/>
      <c r="I124" s="384"/>
      <c r="J124" s="384"/>
      <c r="K124" s="385"/>
    </row>
    <row r="125" spans="1:11">
      <c r="A125" s="379"/>
      <c r="B125" s="380"/>
      <c r="C125" s="380"/>
      <c r="D125" s="386" t="s">
        <v>171</v>
      </c>
      <c r="E125" s="386"/>
      <c r="F125" s="386"/>
      <c r="G125" s="386"/>
      <c r="H125" s="386"/>
      <c r="I125" s="386"/>
      <c r="J125" s="386"/>
      <c r="K125" s="378"/>
    </row>
    <row r="126" spans="1:11">
      <c r="A126" s="379"/>
      <c r="D126" s="384" t="s">
        <v>172</v>
      </c>
      <c r="E126" s="384"/>
      <c r="F126" s="384"/>
      <c r="G126" s="384"/>
      <c r="H126" s="384"/>
      <c r="I126" s="384"/>
      <c r="J126" s="384"/>
      <c r="K126" s="387">
        <v>7</v>
      </c>
    </row>
    <row r="127" s="76" customFormat="1" customHeight="1" spans="1:11">
      <c r="A127" s="388" t="s">
        <v>105</v>
      </c>
      <c r="B127" s="274" t="s">
        <v>47</v>
      </c>
      <c r="C127" s="274">
        <v>103210</v>
      </c>
      <c r="D127" s="389" t="str">
        <f>'Planilha orç.'!D45</f>
        <v>FORNECIMENTO E INSTALAÇÃO DE PLACA ORIENTATIVA SOBRE EXERCÍCIOS, 2,00M X 1,00M, EM TUBO DE AÇO CARBONO - PARA ACADEMIA AO AR LIVRE / ACADEMIA DA TERCEIRA IDADE - ATI, INSTALADO SOBRE PISO DE CONCRETO EXISTENTE.
</v>
      </c>
      <c r="E127" s="389"/>
      <c r="F127" s="389"/>
      <c r="G127" s="389"/>
      <c r="H127" s="389"/>
      <c r="I127" s="389"/>
      <c r="J127" s="389"/>
      <c r="K127" s="390" t="str">
        <f>'Planilha orç.'!E45</f>
        <v>UN </v>
      </c>
    </row>
    <row r="128" spans="1:11">
      <c r="A128" s="391"/>
      <c r="B128" s="392"/>
      <c r="C128" s="392"/>
      <c r="D128" s="393" t="s">
        <v>173</v>
      </c>
      <c r="E128" s="394"/>
      <c r="F128" s="394"/>
      <c r="G128" s="394"/>
      <c r="H128" s="394"/>
      <c r="I128" s="395"/>
      <c r="J128" s="396"/>
      <c r="K128" s="307"/>
    </row>
    <row r="129" spans="1:11">
      <c r="A129" s="391"/>
      <c r="B129" s="397"/>
      <c r="C129" s="398"/>
      <c r="D129" s="399" t="s">
        <v>174</v>
      </c>
      <c r="E129" s="400"/>
      <c r="F129" s="400"/>
      <c r="G129" s="401"/>
      <c r="H129" s="402"/>
      <c r="I129" s="402"/>
      <c r="J129" s="403"/>
      <c r="K129" s="307"/>
    </row>
    <row r="130" spans="1:11">
      <c r="A130" s="391"/>
      <c r="B130" s="397"/>
      <c r="C130" s="398"/>
      <c r="D130" s="404"/>
      <c r="E130" s="403"/>
      <c r="F130" s="403"/>
      <c r="G130" s="403"/>
      <c r="H130" s="403"/>
      <c r="I130" s="403"/>
      <c r="J130" s="403"/>
      <c r="K130" s="405">
        <v>10</v>
      </c>
    </row>
    <row r="131" s="76" customFormat="1" ht="27" spans="1:11">
      <c r="A131" s="391" t="s">
        <v>107</v>
      </c>
      <c r="B131" s="274" t="s">
        <v>25</v>
      </c>
      <c r="C131" s="274" t="s">
        <v>108</v>
      </c>
      <c r="D131" s="406" t="str">
        <f>'Planilha orç.'!D46</f>
        <v>FORNECIMENTO E INSTALAÇÃO DE ABRIGO METÁLICO PARA PONTO DE ÔNIBUS, INCLUSIVE ESTRUTURA E COBERTURA, EXECUÇÃO DE BASES EM CONCRETO FCK 20 MPA, ESCAVAÇÃO MANUAL, EXECUÇÃO DE PISO EM CONCRETO NO ENTORNO, REGULARIZAÇÃO, ACABAMENTO E LIMPEZA FINAL.</v>
      </c>
      <c r="E131" s="406"/>
      <c r="F131" s="406"/>
      <c r="G131" s="406"/>
      <c r="H131" s="406"/>
      <c r="I131" s="406"/>
      <c r="J131" s="406"/>
      <c r="K131" s="407" t="str">
        <f>'Planilha orç.'!E46</f>
        <v>UN </v>
      </c>
    </row>
    <row r="132" spans="1:11">
      <c r="A132" s="260"/>
      <c r="B132" s="408"/>
      <c r="C132" s="408"/>
      <c r="D132" s="263" t="s">
        <v>175</v>
      </c>
      <c r="E132" s="264"/>
      <c r="F132" s="264"/>
      <c r="G132" s="264"/>
      <c r="H132" s="264"/>
      <c r="I132" s="409"/>
      <c r="J132" s="410"/>
      <c r="K132" s="411"/>
    </row>
    <row r="133" spans="1:11">
      <c r="A133" s="260"/>
      <c r="B133" s="408"/>
      <c r="C133" s="408"/>
      <c r="D133" s="263" t="s">
        <v>176</v>
      </c>
      <c r="E133" s="264"/>
      <c r="F133" s="264"/>
      <c r="G133" s="264"/>
      <c r="H133" s="264"/>
      <c r="I133" s="409"/>
      <c r="J133" s="410"/>
      <c r="K133" s="265"/>
    </row>
    <row r="134" spans="1:11">
      <c r="A134" s="260"/>
      <c r="B134" s="408"/>
      <c r="C134" s="408"/>
      <c r="D134" s="77" t="s">
        <v>177</v>
      </c>
      <c r="E134" s="412" t="s">
        <v>178</v>
      </c>
      <c r="F134" s="413"/>
      <c r="G134" s="414"/>
      <c r="H134" s="264"/>
      <c r="I134" s="264"/>
      <c r="J134" s="264"/>
      <c r="K134" s="285"/>
    </row>
    <row r="135" spans="1:11">
      <c r="A135" s="260"/>
      <c r="B135" s="408"/>
      <c r="C135" s="408"/>
      <c r="E135" s="412" t="s">
        <v>179</v>
      </c>
      <c r="F135" s="413"/>
      <c r="G135" s="413"/>
      <c r="H135" s="415"/>
      <c r="I135" s="415"/>
      <c r="J135" s="416"/>
      <c r="K135" s="307"/>
    </row>
    <row r="136" spans="1:11">
      <c r="A136" s="260"/>
      <c r="B136" s="408"/>
      <c r="C136" s="408"/>
      <c r="D136" s="77" t="s">
        <v>180</v>
      </c>
      <c r="E136" s="417" t="s">
        <v>181</v>
      </c>
      <c r="F136" s="418"/>
      <c r="G136" s="419"/>
      <c r="H136" s="264"/>
      <c r="I136" s="264"/>
      <c r="J136" s="264"/>
      <c r="K136" s="285"/>
    </row>
    <row r="137" customHeight="1" spans="1:11">
      <c r="A137" s="260"/>
      <c r="B137" s="408"/>
      <c r="C137" s="408"/>
      <c r="D137" s="420"/>
      <c r="E137" s="415"/>
      <c r="F137" s="415"/>
      <c r="G137" s="415"/>
      <c r="H137" s="415"/>
      <c r="I137" s="415"/>
      <c r="J137" s="416"/>
      <c r="K137" s="266">
        <v>7</v>
      </c>
    </row>
    <row r="138" customHeight="1" spans="1:11">
      <c r="A138" s="260"/>
      <c r="B138" s="408"/>
      <c r="C138" s="408"/>
      <c r="D138" s="263"/>
      <c r="E138" s="264"/>
      <c r="F138" s="264"/>
      <c r="G138" s="264"/>
      <c r="H138" s="264"/>
      <c r="I138" s="264"/>
      <c r="J138" s="264"/>
      <c r="K138" s="285"/>
    </row>
    <row r="139" ht="5.25" customHeight="1" spans="1:11">
      <c r="A139" s="267"/>
      <c r="B139" s="268"/>
      <c r="C139" s="268"/>
      <c r="D139" s="268"/>
      <c r="E139" s="268"/>
      <c r="F139" s="268"/>
      <c r="G139" s="268"/>
      <c r="H139" s="268"/>
      <c r="I139" s="268"/>
      <c r="J139" s="268"/>
      <c r="K139" s="269"/>
    </row>
    <row r="140" ht="53.25" customHeight="1" spans="1:11">
      <c r="A140" s="421"/>
      <c r="B140" s="422"/>
      <c r="C140" s="422"/>
      <c r="D140" s="422"/>
      <c r="E140" s="422"/>
      <c r="F140" s="422"/>
      <c r="G140" s="422"/>
      <c r="H140" s="422"/>
      <c r="I140" s="422"/>
      <c r="K140" s="294"/>
    </row>
    <row r="141" customHeight="1" spans="1:11">
      <c r="A141" s="423"/>
      <c r="B141" s="424"/>
      <c r="C141" s="424"/>
      <c r="D141" s="424"/>
      <c r="E141" s="425"/>
      <c r="G141" s="426" t="s">
        <v>111</v>
      </c>
      <c r="H141" s="426"/>
      <c r="I141" s="426"/>
      <c r="K141" s="294"/>
    </row>
    <row r="142" ht="15" customHeight="1" spans="1:11">
      <c r="A142" s="427"/>
      <c r="B142" s="426" t="s">
        <v>112</v>
      </c>
      <c r="C142" s="426"/>
      <c r="D142" s="426"/>
      <c r="E142" s="425"/>
      <c r="G142" s="426" t="s">
        <v>113</v>
      </c>
      <c r="H142" s="426"/>
      <c r="I142" s="426"/>
      <c r="K142" s="294"/>
    </row>
    <row r="143" ht="52.5" hidden="1" customHeight="1" spans="1:11">
      <c r="A143" s="427"/>
      <c r="B143" s="424"/>
      <c r="C143" s="424"/>
      <c r="D143" s="424"/>
      <c r="E143" s="428"/>
      <c r="F143" s="428"/>
      <c r="G143" s="428"/>
      <c r="H143" s="428"/>
      <c r="K143" s="294"/>
    </row>
    <row r="144" hidden="1" spans="1:11">
      <c r="A144" s="427"/>
      <c r="B144" s="426" t="s">
        <v>114</v>
      </c>
      <c r="C144" s="426"/>
      <c r="D144" s="426"/>
      <c r="E144" s="425"/>
      <c r="F144" s="425"/>
      <c r="G144" s="425"/>
      <c r="H144" s="425"/>
      <c r="K144" s="294"/>
    </row>
    <row r="145" customHeight="1" spans="1:11">
      <c r="A145" s="429"/>
      <c r="B145" s="430"/>
      <c r="C145" s="430"/>
      <c r="D145" s="430"/>
      <c r="E145" s="430"/>
      <c r="F145" s="430"/>
      <c r="G145" s="430"/>
      <c r="H145" s="430"/>
      <c r="I145" s="430"/>
      <c r="J145" s="430"/>
      <c r="K145" s="431"/>
    </row>
  </sheetData>
  <mergeCells count="92">
    <mergeCell ref="A1:K1"/>
    <mergeCell ref="A2:K2"/>
    <mergeCell ref="A3:K3"/>
    <mergeCell ref="A4:K4"/>
    <mergeCell ref="A5:G5"/>
    <mergeCell ref="H5:K5"/>
    <mergeCell ref="A6:K6"/>
    <mergeCell ref="A7:K7"/>
    <mergeCell ref="A8:K8"/>
    <mergeCell ref="A9:K9"/>
    <mergeCell ref="B10:C10"/>
    <mergeCell ref="D10:J10"/>
    <mergeCell ref="A11:K11"/>
    <mergeCell ref="B12:K12"/>
    <mergeCell ref="B13:K13"/>
    <mergeCell ref="D14:J14"/>
    <mergeCell ref="A16:K16"/>
    <mergeCell ref="B17:K17"/>
    <mergeCell ref="D18:J18"/>
    <mergeCell ref="A20:K20"/>
    <mergeCell ref="D21:J21"/>
    <mergeCell ref="A24:K24"/>
    <mergeCell ref="D25:J25"/>
    <mergeCell ref="A27:K27"/>
    <mergeCell ref="D28:J28"/>
    <mergeCell ref="B30:K30"/>
    <mergeCell ref="D31:J31"/>
    <mergeCell ref="H35:I35"/>
    <mergeCell ref="D36:J36"/>
    <mergeCell ref="H39:I39"/>
    <mergeCell ref="D40:J40"/>
    <mergeCell ref="D45:J45"/>
    <mergeCell ref="D50:J50"/>
    <mergeCell ref="D54:J54"/>
    <mergeCell ref="D58:J58"/>
    <mergeCell ref="A61:K61"/>
    <mergeCell ref="B62:K62"/>
    <mergeCell ref="D63:J63"/>
    <mergeCell ref="D66:J66"/>
    <mergeCell ref="D69:J69"/>
    <mergeCell ref="D73:J73"/>
    <mergeCell ref="D79:J79"/>
    <mergeCell ref="B82:K82"/>
    <mergeCell ref="D83:J83"/>
    <mergeCell ref="E84:H84"/>
    <mergeCell ref="D86:J86"/>
    <mergeCell ref="E87:H87"/>
    <mergeCell ref="D90:I90"/>
    <mergeCell ref="E91:H91"/>
    <mergeCell ref="D94:I94"/>
    <mergeCell ref="B98:K98"/>
    <mergeCell ref="D99:J99"/>
    <mergeCell ref="G100:H100"/>
    <mergeCell ref="D101:J101"/>
    <mergeCell ref="D102:I102"/>
    <mergeCell ref="B106:K106"/>
    <mergeCell ref="D107:J107"/>
    <mergeCell ref="D108:J108"/>
    <mergeCell ref="D109:I109"/>
    <mergeCell ref="D110:J110"/>
    <mergeCell ref="D111:J111"/>
    <mergeCell ref="D112:J112"/>
    <mergeCell ref="D113:J113"/>
    <mergeCell ref="D114:J114"/>
    <mergeCell ref="D115:J115"/>
    <mergeCell ref="D116:J116"/>
    <mergeCell ref="D117:J117"/>
    <mergeCell ref="D118:J118"/>
    <mergeCell ref="D119:J119"/>
    <mergeCell ref="D120:J120"/>
    <mergeCell ref="D121:J121"/>
    <mergeCell ref="D122:J122"/>
    <mergeCell ref="D123:J123"/>
    <mergeCell ref="D124:J124"/>
    <mergeCell ref="D125:J125"/>
    <mergeCell ref="D126:J126"/>
    <mergeCell ref="D127:J127"/>
    <mergeCell ref="D128:H128"/>
    <mergeCell ref="D129:G129"/>
    <mergeCell ref="D131:J131"/>
    <mergeCell ref="E134:G134"/>
    <mergeCell ref="E135:G135"/>
    <mergeCell ref="E136:G136"/>
    <mergeCell ref="A139:K139"/>
    <mergeCell ref="B141:D141"/>
    <mergeCell ref="G141:I141"/>
    <mergeCell ref="B142:D142"/>
    <mergeCell ref="G142:I142"/>
    <mergeCell ref="B143:D143"/>
    <mergeCell ref="E143:F143"/>
    <mergeCell ref="G143:H143"/>
    <mergeCell ref="B144:D144"/>
  </mergeCells>
  <dataValidations count="1">
    <dataValidation type="list" allowBlank="1" sqref="B19 B54 B99 B101 B127 B131 B28:B29 B31:B50 B58:B60 B63:B79 B83:B97 B107:B111">
      <formula1>"SINAPI,SINAPI-I,SICRO,Composição,Cotação"</formula1>
    </dataValidation>
  </dataValidations>
  <pageMargins left="0.709722222222222" right="0.709722222222222" top="0.75" bottom="0.75" header="0.309722222222222" footer="0.309722222222222"/>
  <pageSetup paperSize="9" scale="77" fitToHeight="0" orientation="portrait" horizontalDpi="300" verticalDpi="300"/>
  <headerFooter>
    <oddFooter>&amp;R&amp;P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view="pageBreakPreview" zoomScale="112" zoomScaleNormal="100" workbookViewId="0">
      <selection activeCell="D41" sqref="D41"/>
    </sheetView>
  </sheetViews>
  <sheetFormatPr defaultColWidth="9" defaultRowHeight="12.75"/>
  <cols>
    <col min="1" max="1" width="6.28571428571429" customWidth="1"/>
    <col min="4" max="4" width="34.2857142857143" customWidth="1"/>
    <col min="5" max="5" width="18.1428571428571" customWidth="1"/>
    <col min="6" max="6" width="15.7142857142857" customWidth="1"/>
    <col min="7" max="10" width="20.7142857142857" customWidth="1"/>
  </cols>
  <sheetData>
    <row r="1" ht="47.25" customHeight="1" spans="1:10">
      <c r="A1" s="163" t="str">
        <f>'Planilha orç.'!A1</f>
        <v>MUNICIPIO DE JOÃO MONLEVADE - MG </v>
      </c>
      <c r="B1" s="164"/>
      <c r="C1" s="164"/>
      <c r="D1" s="164"/>
      <c r="E1" s="164"/>
      <c r="F1" s="164"/>
      <c r="G1" s="164"/>
      <c r="H1" s="164"/>
      <c r="I1" s="164"/>
      <c r="J1" s="165"/>
    </row>
    <row r="2" ht="6" customHeight="1" spans="1:10">
      <c r="A2" s="166"/>
      <c r="B2" s="166"/>
      <c r="C2" s="166"/>
      <c r="D2" s="166"/>
      <c r="E2" s="166"/>
      <c r="F2" s="166"/>
      <c r="G2" s="166"/>
      <c r="H2" s="166"/>
      <c r="I2" s="166"/>
      <c r="J2" s="166"/>
    </row>
    <row r="3" s="10" customFormat="1" spans="1:10">
      <c r="A3" s="167" t="s">
        <v>182</v>
      </c>
      <c r="B3" s="167"/>
      <c r="C3" s="167"/>
      <c r="D3" s="167"/>
      <c r="E3" s="167"/>
      <c r="F3" s="167"/>
      <c r="G3" s="167"/>
      <c r="H3" s="167"/>
      <c r="I3" s="167"/>
      <c r="J3" s="167"/>
    </row>
    <row r="4" ht="6.6" customHeight="1" spans="1:10">
      <c r="A4" s="166"/>
      <c r="B4" s="166"/>
      <c r="C4" s="166"/>
      <c r="D4" s="166"/>
      <c r="E4" s="166"/>
      <c r="F4" s="166"/>
      <c r="G4" s="166"/>
      <c r="H4" s="166"/>
      <c r="I4" s="166"/>
      <c r="J4" s="166"/>
    </row>
    <row r="5" ht="13.5" customHeight="1" spans="1:10">
      <c r="A5" s="168" t="str">
        <f>'Planilha orç.'!A6</f>
        <v>SOLICITANTE: MUNICÍPIO DE JOÃO MONLEVADE - MG</v>
      </c>
      <c r="B5" s="168"/>
      <c r="C5" s="168"/>
      <c r="D5" s="168"/>
      <c r="E5" s="168"/>
      <c r="F5" s="168"/>
      <c r="G5" s="169" t="s">
        <v>183</v>
      </c>
      <c r="H5" s="169"/>
      <c r="I5" s="169"/>
      <c r="J5" s="169"/>
    </row>
    <row r="6" spans="1:10">
      <c r="A6" s="170" t="str">
        <f>'Planilha orç.'!A5</f>
        <v>OBRA: REFORMA E REVITALIZAÇÃO DA PISTA DE CAMINHADA E CICLOVIA</v>
      </c>
      <c r="B6" s="170"/>
      <c r="C6" s="170"/>
      <c r="D6" s="170"/>
      <c r="E6" s="170"/>
      <c r="F6" s="170"/>
      <c r="G6" s="169" t="str">
        <f>'Planilha orç.'!G7</f>
        <v>DATA: 17/04/2026</v>
      </c>
      <c r="H6" s="169"/>
      <c r="I6" s="169"/>
      <c r="J6" s="169"/>
    </row>
    <row r="7" ht="26.25" customHeight="1" spans="1:10">
      <c r="A7" s="171" t="str">
        <f>'Planilha orç.'!A7</f>
        <v>LOCAL: AV. WILSON ALVARENGA - BELMONTE, JOÃO MONLEVADE - MG</v>
      </c>
      <c r="B7" s="171"/>
      <c r="C7" s="171"/>
      <c r="D7" s="171"/>
      <c r="E7" s="172" t="s">
        <v>7</v>
      </c>
      <c r="F7" s="173">
        <v>0.05</v>
      </c>
      <c r="G7" s="169" t="s">
        <v>8</v>
      </c>
      <c r="H7" s="169"/>
      <c r="I7" s="169"/>
      <c r="J7" s="169"/>
    </row>
    <row r="8" ht="32.25" customHeight="1" spans="1:10">
      <c r="A8" s="174" t="str">
        <f>'Planilha orç.'!A8</f>
        <v>REFERÊNCIA:  SICOR MG 01/2026 - SINAPI 02/2026 NÃO DESONERADA</v>
      </c>
      <c r="B8" s="174"/>
      <c r="C8" s="174"/>
      <c r="D8" s="174"/>
      <c r="E8" s="169" t="s">
        <v>9</v>
      </c>
      <c r="F8" s="175" t="s">
        <v>10</v>
      </c>
      <c r="G8" s="169" t="s">
        <v>11</v>
      </c>
      <c r="H8" s="169"/>
      <c r="I8" s="169"/>
      <c r="J8" s="169"/>
    </row>
    <row r="9" spans="1:10">
      <c r="A9" s="175" t="str">
        <f>'Planilha orç.'!A10</f>
        <v>PRAZO DE EXECUÇÃO: 4 MESES</v>
      </c>
      <c r="B9" s="175"/>
      <c r="C9" s="175"/>
      <c r="D9" s="175"/>
      <c r="E9" s="169"/>
      <c r="F9" s="175"/>
      <c r="G9" s="172" t="s">
        <v>13</v>
      </c>
      <c r="H9" s="172"/>
      <c r="I9" s="176">
        <f>'Planilha orç.'!I10</f>
        <v>0.2474</v>
      </c>
      <c r="J9" s="176"/>
    </row>
    <row r="10" ht="13.15" customHeight="1" spans="1:10">
      <c r="A10" s="177" t="s">
        <v>14</v>
      </c>
      <c r="B10" s="177" t="s">
        <v>17</v>
      </c>
      <c r="C10" s="177"/>
      <c r="D10" s="177"/>
      <c r="E10" s="178" t="s">
        <v>184</v>
      </c>
      <c r="F10" s="179" t="s">
        <v>185</v>
      </c>
      <c r="G10" s="180">
        <v>1</v>
      </c>
      <c r="H10" s="180">
        <v>2</v>
      </c>
      <c r="I10" s="180">
        <v>3</v>
      </c>
      <c r="J10" s="180">
        <v>4</v>
      </c>
    </row>
    <row r="11" spans="1:10">
      <c r="A11" s="177"/>
      <c r="B11" s="177"/>
      <c r="C11" s="177"/>
      <c r="D11" s="177"/>
      <c r="E11" s="178"/>
      <c r="F11" s="179"/>
      <c r="G11" s="181">
        <v>46143</v>
      </c>
      <c r="H11" s="181">
        <v>46174</v>
      </c>
      <c r="I11" s="181">
        <v>46204</v>
      </c>
      <c r="J11" s="181">
        <v>46235</v>
      </c>
    </row>
    <row r="12" hidden="1" spans="1:10">
      <c r="A12" s="182"/>
      <c r="B12" s="183" t="s">
        <v>186</v>
      </c>
      <c r="C12" s="183"/>
      <c r="D12" s="183"/>
      <c r="E12" s="184"/>
      <c r="F12" s="185"/>
      <c r="G12" s="186"/>
      <c r="H12" s="186"/>
      <c r="I12" s="186"/>
      <c r="J12" s="186"/>
    </row>
    <row r="13" spans="1:10">
      <c r="A13" s="187">
        <f>'Planilha orç.'!A13</f>
        <v>1</v>
      </c>
      <c r="B13" s="188" t="str">
        <f>'Planilha orç.'!D13</f>
        <v>ADMINISTRAÇÃO LOCAL</v>
      </c>
      <c r="C13" s="189"/>
      <c r="D13" s="190"/>
      <c r="E13" s="191">
        <f>'Planilha orç.'!J13</f>
        <v>14220.6</v>
      </c>
      <c r="F13" s="185" t="s">
        <v>187</v>
      </c>
      <c r="G13" s="192">
        <v>0.25</v>
      </c>
      <c r="H13" s="192">
        <v>0.25</v>
      </c>
      <c r="I13" s="192">
        <v>0.25</v>
      </c>
      <c r="J13" s="192">
        <v>0.25</v>
      </c>
    </row>
    <row r="14" spans="1:10">
      <c r="A14" s="193"/>
      <c r="B14" s="194"/>
      <c r="C14" s="194"/>
      <c r="D14" s="195"/>
      <c r="E14" s="191"/>
      <c r="F14" s="185" t="s">
        <v>188</v>
      </c>
      <c r="G14" s="196">
        <f>$E$13*G13</f>
        <v>3555.15</v>
      </c>
      <c r="H14" s="196">
        <f>$E$13*H13</f>
        <v>3555.15</v>
      </c>
      <c r="I14" s="196">
        <f>$E$13*I13</f>
        <v>3555.15</v>
      </c>
      <c r="J14" s="196">
        <f>$E$13*J13</f>
        <v>3555.15</v>
      </c>
    </row>
    <row r="15" spans="1:10">
      <c r="A15" s="187">
        <f>'Planilha orç.'!A15</f>
        <v>2</v>
      </c>
      <c r="B15" s="188" t="str">
        <f>'Planilha orç.'!D15</f>
        <v>SERVIÇOS PRELIMINARES</v>
      </c>
      <c r="C15" s="189"/>
      <c r="D15" s="190"/>
      <c r="E15" s="191">
        <f>'Planilha orç.'!J15</f>
        <v>17496.7</v>
      </c>
      <c r="F15" s="185" t="s">
        <v>187</v>
      </c>
      <c r="G15" s="192">
        <v>0.445</v>
      </c>
      <c r="H15" s="192">
        <v>0.185</v>
      </c>
      <c r="I15" s="192">
        <v>0.185</v>
      </c>
      <c r="J15" s="192">
        <v>0.185</v>
      </c>
    </row>
    <row r="16" spans="1:10">
      <c r="A16" s="193"/>
      <c r="B16" s="194"/>
      <c r="C16" s="194"/>
      <c r="D16" s="195"/>
      <c r="E16" s="191"/>
      <c r="F16" s="185" t="s">
        <v>188</v>
      </c>
      <c r="G16" s="196">
        <f>ROUNDDOWN($E$15*G15,2)</f>
        <v>7786.03</v>
      </c>
      <c r="H16" s="196">
        <f>$E$15*H15</f>
        <v>3236.89</v>
      </c>
      <c r="I16" s="196">
        <f>$E$15*I15</f>
        <v>3236.89</v>
      </c>
      <c r="J16" s="196">
        <f>$E$15*J15</f>
        <v>3236.89</v>
      </c>
    </row>
    <row r="17" spans="1:10">
      <c r="A17" s="187">
        <f>'Planilha orç.'!A20</f>
        <v>3</v>
      </c>
      <c r="B17" s="188" t="str">
        <f>'Planilha orç.'!D20</f>
        <v>PISTA DE CAMINHADA</v>
      </c>
      <c r="C17" s="189"/>
      <c r="D17" s="190"/>
      <c r="E17" s="191">
        <f>'Planilha orç.'!J20</f>
        <v>561866.91</v>
      </c>
      <c r="F17" s="185" t="s">
        <v>187</v>
      </c>
      <c r="G17" s="192">
        <v>1</v>
      </c>
      <c r="H17" s="197"/>
      <c r="I17" s="197"/>
      <c r="J17" s="197"/>
    </row>
    <row r="18" spans="1:10">
      <c r="A18" s="193"/>
      <c r="B18" s="194"/>
      <c r="C18" s="194"/>
      <c r="D18" s="195"/>
      <c r="E18" s="191"/>
      <c r="F18" s="185" t="s">
        <v>188</v>
      </c>
      <c r="G18" s="196">
        <f>ROUND($E$17*G17,2)</f>
        <v>561866.91</v>
      </c>
      <c r="H18" s="197"/>
      <c r="I18" s="197"/>
      <c r="J18" s="197"/>
    </row>
    <row r="19" spans="1:10">
      <c r="A19" s="187">
        <f>'Planilha orç.'!A28</f>
        <v>4</v>
      </c>
      <c r="B19" s="188" t="str">
        <f>'Planilha orç.'!D28</f>
        <v>CICLOVIA</v>
      </c>
      <c r="C19" s="189"/>
      <c r="D19" s="190"/>
      <c r="E19" s="191">
        <f>'Planilha orç.'!J28</f>
        <v>382977.63</v>
      </c>
      <c r="F19" s="185" t="s">
        <v>187</v>
      </c>
      <c r="G19" s="192">
        <v>0.4</v>
      </c>
      <c r="H19" s="192">
        <v>0.6</v>
      </c>
      <c r="I19" s="197"/>
      <c r="J19" s="197"/>
    </row>
    <row r="20" spans="1:10">
      <c r="A20" s="193"/>
      <c r="B20" s="194"/>
      <c r="C20" s="194"/>
      <c r="D20" s="195"/>
      <c r="E20" s="191"/>
      <c r="F20" s="185" t="s">
        <v>188</v>
      </c>
      <c r="G20" s="198">
        <f>$E$19*G19</f>
        <v>153191.05</v>
      </c>
      <c r="H20" s="198">
        <f>ROUND($E$19*H19,2)</f>
        <v>229786.58</v>
      </c>
      <c r="I20" s="197"/>
      <c r="J20" s="197"/>
    </row>
    <row r="21" spans="1:10">
      <c r="A21" s="187">
        <v>5</v>
      </c>
      <c r="B21" s="188" t="str">
        <f>'Planilha orç.'!D34</f>
        <v>ASSENTAMENTO DE MEIO-FIO</v>
      </c>
      <c r="C21" s="189"/>
      <c r="D21" s="190"/>
      <c r="E21" s="191">
        <f>'Planilha orç.'!J34</f>
        <v>144249.2</v>
      </c>
      <c r="F21" s="185" t="s">
        <v>187</v>
      </c>
      <c r="G21" s="192">
        <v>0.15</v>
      </c>
      <c r="H21" s="192">
        <v>0.65</v>
      </c>
      <c r="I21" s="192">
        <v>0.2</v>
      </c>
      <c r="J21" s="197"/>
    </row>
    <row r="22" spans="1:10">
      <c r="A22" s="193"/>
      <c r="B22" s="194"/>
      <c r="C22" s="194"/>
      <c r="D22" s="195"/>
      <c r="E22" s="191"/>
      <c r="F22" s="185" t="s">
        <v>188</v>
      </c>
      <c r="G22" s="196">
        <f>ROUND($E$21*G21,2)</f>
        <v>21637.38</v>
      </c>
      <c r="H22" s="196">
        <f>ROUND($E$21*H21,2)</f>
        <v>93761.98</v>
      </c>
      <c r="I22" s="196">
        <f>ROUND($E$21*I21,2)</f>
        <v>28849.84</v>
      </c>
      <c r="J22" s="197"/>
    </row>
    <row r="23" spans="1:10">
      <c r="A23" s="187">
        <v>6</v>
      </c>
      <c r="B23" s="188" t="str">
        <f>'Planilha orç.'!D39</f>
        <v>CANTEIROS</v>
      </c>
      <c r="C23" s="189"/>
      <c r="D23" s="190"/>
      <c r="E23" s="191">
        <f>'Planilha orç.'!J39</f>
        <v>37357.13</v>
      </c>
      <c r="F23" s="185" t="s">
        <v>187</v>
      </c>
      <c r="G23" s="197"/>
      <c r="H23" s="192">
        <v>0.7</v>
      </c>
      <c r="I23" s="192">
        <v>0.3</v>
      </c>
      <c r="J23" s="197"/>
    </row>
    <row r="24" spans="1:10">
      <c r="A24" s="193"/>
      <c r="B24" s="194"/>
      <c r="C24" s="194"/>
      <c r="D24" s="195"/>
      <c r="E24" s="191"/>
      <c r="F24" s="185" t="s">
        <v>188</v>
      </c>
      <c r="G24" s="197"/>
      <c r="H24" s="196">
        <f>ROUND($E$23*H23,2)</f>
        <v>26149.99</v>
      </c>
      <c r="I24" s="196">
        <f>ROUND($E$23*I23,2)</f>
        <v>11207.14</v>
      </c>
      <c r="J24" s="197"/>
    </row>
    <row r="25" spans="1:10">
      <c r="A25" s="187">
        <v>7</v>
      </c>
      <c r="B25" s="188" t="str">
        <f>'Planilha orç.'!D42</f>
        <v>SERVIÇOS COMPLEMENTARES</v>
      </c>
      <c r="C25" s="189"/>
      <c r="D25" s="190"/>
      <c r="E25" s="191">
        <f>'Planilha orç.'!J42</f>
        <v>153194.42</v>
      </c>
      <c r="F25" s="185" t="s">
        <v>187</v>
      </c>
      <c r="G25" s="197"/>
      <c r="H25" s="192">
        <v>0.4</v>
      </c>
      <c r="I25" s="192">
        <v>0.5</v>
      </c>
      <c r="J25" s="192">
        <v>0.1</v>
      </c>
    </row>
    <row r="26" spans="1:10">
      <c r="A26" s="193"/>
      <c r="B26" s="194"/>
      <c r="C26" s="194"/>
      <c r="D26" s="195"/>
      <c r="E26" s="191"/>
      <c r="F26" s="185" t="s">
        <v>188</v>
      </c>
      <c r="G26" s="197"/>
      <c r="H26" s="196">
        <f>$E$25*H25</f>
        <v>61277.77</v>
      </c>
      <c r="I26" s="196">
        <f>$E$25*I25</f>
        <v>76597.21</v>
      </c>
      <c r="J26" s="196">
        <f>$E$25*J25</f>
        <v>15319.44</v>
      </c>
    </row>
    <row r="27" ht="8.45" customHeight="1" spans="1:10">
      <c r="A27" s="199"/>
      <c r="B27" s="199"/>
      <c r="C27" s="199"/>
      <c r="D27" s="199"/>
      <c r="E27" s="199"/>
      <c r="F27" s="199"/>
      <c r="G27" s="199"/>
      <c r="H27" s="199"/>
      <c r="I27" s="199"/>
      <c r="J27" s="199"/>
    </row>
    <row r="28" s="162" customFormat="1" ht="13.15" customHeight="1" spans="1:10">
      <c r="A28" s="200" t="s">
        <v>189</v>
      </c>
      <c r="B28" s="201"/>
      <c r="C28" s="202"/>
      <c r="D28" s="203">
        <f>'Planilha orç.'!J48</f>
        <v>1311362.59</v>
      </c>
      <c r="E28" s="204"/>
      <c r="F28" s="205" t="s">
        <v>190</v>
      </c>
      <c r="G28" s="206">
        <f>G29/D28</f>
        <v>0.5704</v>
      </c>
      <c r="H28" s="206">
        <f>H29/D28</f>
        <v>0.3186</v>
      </c>
      <c r="I28" s="206">
        <f>I29/D28</f>
        <v>0.0941</v>
      </c>
      <c r="J28" s="206">
        <f>J29/D28</f>
        <v>0.0169</v>
      </c>
    </row>
    <row r="29" s="162" customFormat="1" spans="1:10">
      <c r="A29" s="207"/>
      <c r="B29" s="208"/>
      <c r="C29" s="209"/>
      <c r="D29" s="210"/>
      <c r="E29" s="211"/>
      <c r="F29" s="212" t="s">
        <v>191</v>
      </c>
      <c r="G29" s="213">
        <f>SUM(G14+G16+G18+G20+G22)</f>
        <v>748036.52</v>
      </c>
      <c r="H29" s="213">
        <f>SUM(H14+H16+H20+H22+H24+H26)</f>
        <v>417768.36</v>
      </c>
      <c r="I29" s="213">
        <f>SUM(I14+I16+I22+I24+I26)</f>
        <v>123446.23</v>
      </c>
      <c r="J29" s="213">
        <f>SUM(J14+J16+J26)</f>
        <v>22111.48</v>
      </c>
    </row>
    <row r="30" s="162" customFormat="1" spans="1:10">
      <c r="A30" s="207"/>
      <c r="B30" s="208"/>
      <c r="C30" s="209"/>
      <c r="D30" s="210"/>
      <c r="E30" s="204"/>
      <c r="F30" s="205" t="s">
        <v>190</v>
      </c>
      <c r="G30" s="206">
        <f>G28</f>
        <v>0.5704</v>
      </c>
      <c r="H30" s="206">
        <f>G30+H28</f>
        <v>0.889</v>
      </c>
      <c r="I30" s="206">
        <f>H30+I28</f>
        <v>0.9831</v>
      </c>
      <c r="J30" s="206">
        <f>I30+J28</f>
        <v>1</v>
      </c>
    </row>
    <row r="31" s="162" customFormat="1" ht="15.75" spans="1:10">
      <c r="A31" s="214"/>
      <c r="B31" s="215"/>
      <c r="C31" s="216"/>
      <c r="D31" s="217"/>
      <c r="E31" s="211"/>
      <c r="F31" s="212" t="s">
        <v>191</v>
      </c>
      <c r="G31" s="218">
        <f>SUM(G14,G16,G18,G20,G22)</f>
        <v>748036.52</v>
      </c>
      <c r="H31" s="218">
        <f>G31+H29</f>
        <v>1165804.88</v>
      </c>
      <c r="I31" s="218">
        <f>H31+I29</f>
        <v>1289251.11</v>
      </c>
      <c r="J31" s="218">
        <f>I31+J29</f>
        <v>1311362.59</v>
      </c>
    </row>
    <row r="32" ht="13.5" spans="1:10">
      <c r="A32" s="219"/>
      <c r="B32" s="135"/>
      <c r="C32" s="63"/>
      <c r="D32" s="63"/>
      <c r="E32" s="63"/>
      <c r="F32" s="63"/>
      <c r="G32" s="63"/>
      <c r="H32" s="220"/>
      <c r="I32" s="63"/>
      <c r="J32" s="221"/>
    </row>
    <row r="33" ht="61.5" customHeight="1" spans="1:10">
      <c r="A33" s="222"/>
      <c r="B33" s="223"/>
      <c r="C33" s="223"/>
      <c r="D33" s="223"/>
      <c r="E33" s="223"/>
      <c r="F33" s="223"/>
      <c r="G33" s="223"/>
      <c r="H33" s="223"/>
      <c r="I33" s="223"/>
      <c r="J33" s="221"/>
    </row>
    <row r="34" ht="14.45" customHeight="1" spans="1:10">
      <c r="A34" s="224"/>
      <c r="B34" s="150" t="s">
        <v>112</v>
      </c>
      <c r="C34" s="150"/>
      <c r="D34" s="150"/>
      <c r="E34" s="150"/>
      <c r="F34" s="150"/>
      <c r="G34" s="150"/>
      <c r="H34" s="150"/>
      <c r="I34" s="150"/>
      <c r="J34" s="221"/>
    </row>
    <row r="35" ht="16.5" customHeight="1" spans="1:10">
      <c r="A35" s="224"/>
      <c r="B35" s="151" t="s">
        <v>192</v>
      </c>
      <c r="C35" s="151"/>
      <c r="D35" s="151"/>
      <c r="E35" s="151"/>
      <c r="F35" s="151"/>
      <c r="G35" s="151"/>
      <c r="H35" s="151"/>
      <c r="I35" s="151"/>
      <c r="J35" s="221"/>
    </row>
    <row r="36" ht="7.9" customHeight="1" spans="1:10">
      <c r="A36" s="225"/>
      <c r="B36" s="226"/>
      <c r="C36" s="226"/>
      <c r="D36" s="226"/>
      <c r="E36" s="226"/>
      <c r="F36" s="226"/>
      <c r="G36" s="226"/>
      <c r="H36" s="227"/>
      <c r="I36" s="226"/>
      <c r="J36" s="228"/>
    </row>
  </sheetData>
  <mergeCells count="39">
    <mergeCell ref="A1:I1"/>
    <mergeCell ref="A2:J2"/>
    <mergeCell ref="A3:J3"/>
    <mergeCell ref="A4:J4"/>
    <mergeCell ref="A5:F5"/>
    <mergeCell ref="G5:J5"/>
    <mergeCell ref="A6:F6"/>
    <mergeCell ref="G6:J6"/>
    <mergeCell ref="A7:D7"/>
    <mergeCell ref="G7:J7"/>
    <mergeCell ref="A8:D8"/>
    <mergeCell ref="G8:J8"/>
    <mergeCell ref="A9:D9"/>
    <mergeCell ref="I9:J9"/>
    <mergeCell ref="B13:D13"/>
    <mergeCell ref="A14:D14"/>
    <mergeCell ref="B15:D15"/>
    <mergeCell ref="A16:D16"/>
    <mergeCell ref="B17:D17"/>
    <mergeCell ref="A18:D18"/>
    <mergeCell ref="B19:D19"/>
    <mergeCell ref="A20:D20"/>
    <mergeCell ref="B21:D21"/>
    <mergeCell ref="A22:D22"/>
    <mergeCell ref="B23:D23"/>
    <mergeCell ref="A24:D24"/>
    <mergeCell ref="B25:D25"/>
    <mergeCell ref="A26:D26"/>
    <mergeCell ref="B33:I33"/>
    <mergeCell ref="B34:I34"/>
    <mergeCell ref="B35:I35"/>
    <mergeCell ref="A10:A11"/>
    <mergeCell ref="D28:D31"/>
    <mergeCell ref="E8:E9"/>
    <mergeCell ref="E10:E11"/>
    <mergeCell ref="F8:F9"/>
    <mergeCell ref="F10:F11"/>
    <mergeCell ref="B10:D11"/>
    <mergeCell ref="A28:C31"/>
  </mergeCells>
  <conditionalFormatting sqref="H30:J30">
    <cfRule type="expression" dxfId="0" priority="1" stopIfTrue="1">
      <formula>OFFSET(H$35,0,-1)&gt;=1</formula>
    </cfRule>
  </conditionalFormatting>
  <dataValidations count="4">
    <dataValidation type="whole" operator="greaterThan" allowBlank="1" showErrorMessage="1" sqref="G10">
      <formula1>0</formula1>
    </dataValidation>
    <dataValidation type="date" operator="greaterThan" allowBlank="1" showInputMessage="1" showErrorMessage="1" errorTitle="Erro" error="Digite somente datas." sqref="G11:J11">
      <formula1>36526</formula1>
    </dataValidation>
    <dataValidation type="decimal" operator="between" allowBlank="1" showErrorMessage="1" error="Porcentagem Acumulada &gt; 100%." sqref="G12:I12">
      <formula1>0</formula1>
      <formula2>CRONO.MaxParc</formula2>
    </dataValidation>
    <dataValidation allowBlank="1" showInputMessage="1" showErrorMessage="1" prompt="Preencha na célula de baixo. Se o acompanhamento for PLE, preencha no botão PREENCHIMENTO POR EVENTOS, acima." sqref="H13:I13 H14:J14 H15:I15 H16:J16 G13:G26 J25:J26 H17:I26"/>
  </dataValidations>
  <pageMargins left="0.511811024" right="0.511811024" top="0.787401575" bottom="0.787401575" header="0.31496062" footer="0.31496062"/>
  <pageSetup paperSize="9" scale="75" fitToWidth="0" orientation="landscape"/>
  <headerFooter/>
  <colBreaks count="1" manualBreakCount="1">
    <brk id="10" max="3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7"/>
  <sheetViews>
    <sheetView view="pageBreakPreview" zoomScaleNormal="100" topLeftCell="A62" workbookViewId="0">
      <selection activeCell="N84" sqref="N84"/>
    </sheetView>
  </sheetViews>
  <sheetFormatPr defaultColWidth="9" defaultRowHeight="12.75"/>
  <cols>
    <col min="1" max="1" width="11.1428571428571" style="77" customWidth="1"/>
    <col min="2" max="2" width="9.14285714285714" style="77"/>
    <col min="3" max="3" width="44.2857142857143" style="77" customWidth="1"/>
    <col min="4" max="5" width="9.14285714285714" style="77"/>
    <col min="6" max="6" width="9.85714285714286" style="77" customWidth="1"/>
    <col min="7" max="7" width="15.5714285714286" style="77" customWidth="1"/>
    <col min="8" max="10" width="9" style="77" hidden="1" customWidth="1"/>
    <col min="11" max="16384" width="9.14285714285714" style="77"/>
  </cols>
  <sheetData>
    <row r="1" ht="50.25" customHeight="1" spans="1:7">
      <c r="A1" s="78" t="str">
        <f>Cronograma!A1</f>
        <v>MUNICIPIO DE JOÃO MONLEVADE - MG </v>
      </c>
      <c r="B1" s="78"/>
      <c r="C1" s="78"/>
      <c r="D1" s="78"/>
      <c r="E1" s="78"/>
      <c r="F1" s="78"/>
      <c r="G1" s="78"/>
    </row>
    <row r="2" ht="5.25" customHeight="1" spans="1:7">
      <c r="A2" s="78"/>
      <c r="B2" s="78"/>
      <c r="C2" s="78"/>
      <c r="D2" s="78"/>
      <c r="E2" s="78"/>
      <c r="F2" s="78"/>
      <c r="G2" s="78"/>
    </row>
    <row r="3" ht="13.15" customHeight="1" spans="1:7">
      <c r="A3" s="79" t="s">
        <v>193</v>
      </c>
      <c r="B3" s="79"/>
      <c r="C3" s="79"/>
      <c r="D3" s="79"/>
      <c r="E3" s="79"/>
      <c r="F3" s="79"/>
      <c r="G3" s="79"/>
    </row>
    <row r="4" ht="5.25" customHeight="1" spans="1:7">
      <c r="A4" s="79"/>
      <c r="B4" s="79"/>
      <c r="C4" s="79"/>
      <c r="D4" s="79"/>
      <c r="E4" s="79"/>
      <c r="F4" s="79"/>
      <c r="G4" s="79"/>
    </row>
    <row r="5" spans="1:7">
      <c r="A5" s="80" t="str">
        <f>Cronograma!A5</f>
        <v>SOLICITANTE: MUNICÍPIO DE JOÃO MONLEVADE - MG</v>
      </c>
      <c r="B5" s="80"/>
      <c r="C5" s="80"/>
      <c r="D5" s="80"/>
      <c r="E5" s="80"/>
      <c r="F5" s="80"/>
      <c r="G5" s="80"/>
    </row>
    <row r="6" spans="1:7">
      <c r="A6" s="80" t="str">
        <f>Cronograma!A6</f>
        <v>OBRA: REFORMA E REVITALIZAÇÃO DA PISTA DE CAMINHADA E CICLOVIA</v>
      </c>
      <c r="B6" s="80"/>
      <c r="C6" s="80"/>
      <c r="D6" s="80"/>
      <c r="E6" s="81" t="str">
        <f>'Planilha orç.'!G7</f>
        <v>DATA: 17/04/2026</v>
      </c>
      <c r="F6" s="81"/>
      <c r="G6" s="81"/>
    </row>
    <row r="7" customHeight="1" spans="1:7">
      <c r="A7" s="81" t="str">
        <f>Cronograma!A7</f>
        <v>LOCAL: AV. WILSON ALVARENGA - BELMONTE, JOÃO MONLEVADE - MG</v>
      </c>
      <c r="B7" s="81"/>
      <c r="C7" s="81"/>
      <c r="D7" s="81"/>
      <c r="E7" s="82">
        <v>0.05</v>
      </c>
      <c r="F7" s="78" t="s">
        <v>8</v>
      </c>
      <c r="G7" s="78"/>
    </row>
    <row r="8" ht="26.25" customHeight="1" spans="1:7">
      <c r="A8" s="83" t="str">
        <f>Cronograma!A8</f>
        <v>REFERÊNCIA:  SICOR MG 01/2026 - SINAPI 02/2026 NÃO DESONERADA</v>
      </c>
      <c r="B8" s="83"/>
      <c r="C8" s="83"/>
      <c r="D8" s="83"/>
      <c r="E8" s="81" t="s">
        <v>10</v>
      </c>
      <c r="F8" s="78" t="s">
        <v>11</v>
      </c>
      <c r="G8" s="78"/>
    </row>
    <row r="9" spans="1:7">
      <c r="A9" s="81" t="str">
        <f>Cronograma!A9</f>
        <v>PRAZO DE EXECUÇÃO: 4 MESES</v>
      </c>
      <c r="B9" s="81"/>
      <c r="C9" s="81"/>
      <c r="D9" s="81"/>
      <c r="E9" s="81"/>
      <c r="F9" s="84" t="s">
        <v>13</v>
      </c>
      <c r="G9" s="85">
        <f>'Planilha orç.'!I10</f>
        <v>0.2474</v>
      </c>
    </row>
    <row r="10" s="74" customFormat="1" ht="25.5" spans="1:7">
      <c r="A10" s="86" t="s">
        <v>25</v>
      </c>
      <c r="B10" s="86" t="str">
        <f>'Planilha orç.'!C17</f>
        <v>CPU-001</v>
      </c>
      <c r="C10" s="86" t="str">
        <f>'Planilha orç.'!D17</f>
        <v>PLACA DE OBRA EM CHAPA DE ACO GALVANIZADO  CONFORME MANUAL DE PLACAS</v>
      </c>
      <c r="D10" s="87" t="str">
        <f>'Planilha orç.'!E17</f>
        <v>M2</v>
      </c>
      <c r="E10" s="86"/>
      <c r="F10" s="88"/>
      <c r="G10" s="88">
        <f>SUM(G11:G17)</f>
        <v>385.02</v>
      </c>
    </row>
    <row r="11" ht="23.45" customHeight="1" spans="1:7">
      <c r="A11" s="89" t="s">
        <v>194</v>
      </c>
      <c r="B11" s="89" t="s">
        <v>195</v>
      </c>
      <c r="C11" s="90" t="s">
        <v>196</v>
      </c>
      <c r="D11" s="91" t="s">
        <v>197</v>
      </c>
      <c r="E11" s="92">
        <v>1</v>
      </c>
      <c r="F11" s="93">
        <v>10.34</v>
      </c>
      <c r="G11" s="93">
        <f t="shared" ref="G11:G17" si="0">ROUND(E11*F11,2)</f>
        <v>10.34</v>
      </c>
    </row>
    <row r="12" ht="23.45" customHeight="1" spans="1:7">
      <c r="A12" s="89" t="s">
        <v>194</v>
      </c>
      <c r="B12" s="89" t="s">
        <v>198</v>
      </c>
      <c r="C12" s="90" t="s">
        <v>199</v>
      </c>
      <c r="D12" s="91" t="s">
        <v>197</v>
      </c>
      <c r="E12" s="92">
        <v>4</v>
      </c>
      <c r="F12" s="93">
        <v>7.61</v>
      </c>
      <c r="G12" s="93">
        <f t="shared" si="0"/>
        <v>30.44</v>
      </c>
    </row>
    <row r="13" ht="38.25" spans="1:7">
      <c r="A13" s="89" t="s">
        <v>194</v>
      </c>
      <c r="B13" s="89" t="s">
        <v>200</v>
      </c>
      <c r="C13" s="90" t="s">
        <v>201</v>
      </c>
      <c r="D13" s="91" t="s">
        <v>202</v>
      </c>
      <c r="E13" s="92">
        <v>1</v>
      </c>
      <c r="F13" s="93">
        <v>312.5</v>
      </c>
      <c r="G13" s="93">
        <f t="shared" si="0"/>
        <v>312.5</v>
      </c>
    </row>
    <row r="14" spans="1:7">
      <c r="A14" s="89" t="s">
        <v>194</v>
      </c>
      <c r="B14" s="89" t="s">
        <v>203</v>
      </c>
      <c r="C14" s="90" t="s">
        <v>204</v>
      </c>
      <c r="D14" s="91" t="s">
        <v>205</v>
      </c>
      <c r="E14" s="94">
        <v>0.05</v>
      </c>
      <c r="F14" s="93">
        <v>17.57</v>
      </c>
      <c r="G14" s="93">
        <f t="shared" si="0"/>
        <v>0.88</v>
      </c>
    </row>
    <row r="15" ht="12" customHeight="1" spans="1:7">
      <c r="A15" s="89" t="s">
        <v>47</v>
      </c>
      <c r="B15" s="89" t="s">
        <v>206</v>
      </c>
      <c r="C15" s="90" t="s">
        <v>207</v>
      </c>
      <c r="D15" s="91" t="s">
        <v>208</v>
      </c>
      <c r="E15" s="94">
        <v>0.45</v>
      </c>
      <c r="F15" s="93">
        <v>32.89</v>
      </c>
      <c r="G15" s="93">
        <f t="shared" si="0"/>
        <v>14.8</v>
      </c>
    </row>
    <row r="16" spans="1:7">
      <c r="A16" s="89" t="s">
        <v>47</v>
      </c>
      <c r="B16" s="89" t="s">
        <v>209</v>
      </c>
      <c r="C16" s="90" t="s">
        <v>210</v>
      </c>
      <c r="D16" s="91" t="s">
        <v>208</v>
      </c>
      <c r="E16" s="94">
        <v>0.45</v>
      </c>
      <c r="F16" s="93">
        <v>24.88</v>
      </c>
      <c r="G16" s="93">
        <f t="shared" si="0"/>
        <v>11.2</v>
      </c>
    </row>
    <row r="17" ht="38.25" spans="1:11">
      <c r="A17" s="89" t="s">
        <v>47</v>
      </c>
      <c r="B17" s="89" t="s">
        <v>211</v>
      </c>
      <c r="C17" s="90" t="s">
        <v>212</v>
      </c>
      <c r="D17" s="91" t="s">
        <v>60</v>
      </c>
      <c r="E17" s="94">
        <v>0.01</v>
      </c>
      <c r="F17" s="93">
        <v>486.44</v>
      </c>
      <c r="G17" s="93">
        <f t="shared" si="0"/>
        <v>4.86</v>
      </c>
    </row>
    <row r="18" ht="16.15" customHeight="1" spans="1:11">
      <c r="A18" s="95"/>
      <c r="B18" s="95"/>
      <c r="C18" s="96"/>
      <c r="D18" s="95"/>
      <c r="E18" s="95"/>
      <c r="F18" s="95"/>
      <c r="G18" s="95"/>
    </row>
    <row r="19" s="74" customFormat="1" spans="1:11">
      <c r="A19" s="86" t="s">
        <v>25</v>
      </c>
      <c r="B19" s="86" t="str">
        <f>'Planilha orç.'!C14</f>
        <v>CPU-002</v>
      </c>
      <c r="C19" s="86" t="str">
        <f>'Planilha orç.'!D14</f>
        <v>ADMINISTRAÇÃO LOCAL</v>
      </c>
      <c r="D19" s="86" t="str">
        <f>'Planilha orç.'!E14</f>
        <v>MÊS</v>
      </c>
      <c r="E19" s="86"/>
      <c r="F19" s="88"/>
      <c r="G19" s="88">
        <f>SUM(G20:G21)</f>
        <v>2850.05</v>
      </c>
    </row>
    <row r="20" ht="25.5" spans="1:11">
      <c r="A20" s="89" t="s">
        <v>47</v>
      </c>
      <c r="B20" s="89" t="s">
        <v>213</v>
      </c>
      <c r="C20" s="90" t="s">
        <v>214</v>
      </c>
      <c r="D20" s="91" t="s">
        <v>215</v>
      </c>
      <c r="E20" s="94">
        <f>(2*2*4)/220</f>
        <v>0.0727272727272727</v>
      </c>
      <c r="F20" s="93">
        <v>24788.99</v>
      </c>
      <c r="G20" s="93">
        <f>ROUND(E20*F20,2)</f>
        <v>1802.84</v>
      </c>
    </row>
    <row r="21" ht="25.5" spans="1:11">
      <c r="A21" s="89" t="s">
        <v>47</v>
      </c>
      <c r="B21" s="89" t="s">
        <v>216</v>
      </c>
      <c r="C21" s="90" t="s">
        <v>217</v>
      </c>
      <c r="D21" s="91" t="s">
        <v>215</v>
      </c>
      <c r="E21" s="94">
        <f>(2*5*2)/220</f>
        <v>0.0909090909090909</v>
      </c>
      <c r="F21" s="93">
        <v>11519.29</v>
      </c>
      <c r="G21" s="93">
        <f>ROUND(E21*F21,2)</f>
        <v>1047.21</v>
      </c>
    </row>
    <row r="22" spans="1:11">
      <c r="A22" s="95"/>
      <c r="B22" s="95"/>
      <c r="C22" s="96"/>
      <c r="D22" s="95"/>
      <c r="E22" s="95"/>
      <c r="F22" s="95"/>
      <c r="G22" s="95"/>
    </row>
    <row r="23" s="74" customFormat="1" ht="52.5" customHeight="1" spans="1:11">
      <c r="A23" s="86" t="s">
        <v>25</v>
      </c>
      <c r="B23" s="86" t="str">
        <f>'Planilha orç.'!C18</f>
        <v>CPU-003</v>
      </c>
      <c r="C23" s="86" t="str">
        <f>'Planilha orç.'!D18</f>
        <v>LOCACAO, MOBILIZAÇÃO E DESMOBILIZAÇÃO DE CONTAINER 2,30 X 6,00 M, ALT. 2,50 M, COM 1 SANITARIO, PARA ESCRITORIO, COMPLETO, SEM DIVISORIAS INTERNAS (INCLUI MOBILIZACAO/ DESMOBILIZACAO), NÃO INCLUI LIGAÇÕES PROVISÓRIAS</v>
      </c>
      <c r="D23" s="86" t="str">
        <f>'Planilha orç.'!E18</f>
        <v>MÊS</v>
      </c>
      <c r="E23" s="86"/>
      <c r="F23" s="88"/>
      <c r="G23" s="88">
        <f>SUM(G24:G25)</f>
        <v>1284.18</v>
      </c>
    </row>
    <row r="24" ht="76.5" spans="1:11">
      <c r="A24" s="89" t="s">
        <v>218</v>
      </c>
      <c r="B24" s="89" t="s">
        <v>219</v>
      </c>
      <c r="C24" s="90" t="s">
        <v>220</v>
      </c>
      <c r="D24" s="91" t="s">
        <v>221</v>
      </c>
      <c r="E24" s="94">
        <v>1</v>
      </c>
      <c r="F24" s="93">
        <v>858.6</v>
      </c>
      <c r="G24" s="93">
        <f>ROUND(E24*F24,2)</f>
        <v>858.6</v>
      </c>
    </row>
    <row r="25" ht="54" customHeight="1" spans="1:11">
      <c r="A25" s="89" t="s">
        <v>218</v>
      </c>
      <c r="B25" s="89" t="s">
        <v>222</v>
      </c>
      <c r="C25" s="90" t="s">
        <v>223</v>
      </c>
      <c r="D25" s="91" t="s">
        <v>224</v>
      </c>
      <c r="E25" s="94">
        <v>1</v>
      </c>
      <c r="F25" s="93">
        <f>1702.32/4</f>
        <v>425.58</v>
      </c>
      <c r="G25" s="93">
        <f>ROUND(E25*F25,2)</f>
        <v>425.58</v>
      </c>
    </row>
    <row r="26" spans="1:11">
      <c r="A26" s="95"/>
      <c r="B26" s="95"/>
      <c r="C26" s="96"/>
      <c r="D26" s="95"/>
      <c r="E26" s="95"/>
      <c r="F26" s="95"/>
      <c r="G26" s="95"/>
      <c r="J26" s="77">
        <f>0.914+1.3*0.6</f>
        <v>1.694</v>
      </c>
    </row>
    <row r="27" s="74" customFormat="1" ht="30" customHeight="1" spans="1:11">
      <c r="A27" s="86" t="s">
        <v>25</v>
      </c>
      <c r="B27" s="86" t="str">
        <f>'Planilha orç.'!C16</f>
        <v>CPU-004</v>
      </c>
      <c r="C27" s="86" t="str">
        <f>'Planilha orç.'!D16</f>
        <v>MOBILIZAÇÃO E DESMOBILIZAÇÃO DE OBRA EM CENTRO URBANO OU REGIÃO LIMÍTROFE COM VALOR ACIMA DE 1.000.000,00</v>
      </c>
      <c r="D27" s="86" t="str">
        <f>'Planilha orç.'!E16</f>
        <v>UN</v>
      </c>
      <c r="E27" s="86"/>
      <c r="F27" s="88"/>
      <c r="G27" s="88"/>
    </row>
    <row r="28" ht="25.5" spans="1:11">
      <c r="A28" s="89"/>
      <c r="B28" s="97"/>
      <c r="C28" s="96" t="s">
        <v>225</v>
      </c>
      <c r="D28" s="98" t="s">
        <v>76</v>
      </c>
      <c r="E28" s="95"/>
      <c r="F28" s="95"/>
      <c r="G28" s="99">
        <v>0.003</v>
      </c>
      <c r="K28" s="77">
        <v>0.3</v>
      </c>
    </row>
    <row r="29" spans="1:11">
      <c r="A29" s="89"/>
      <c r="B29" s="97"/>
      <c r="C29" s="96"/>
      <c r="D29" s="98"/>
      <c r="E29" s="95"/>
      <c r="F29" s="95"/>
      <c r="G29" s="99"/>
    </row>
    <row r="30" s="75" customFormat="1" ht="47.25" customHeight="1" spans="1:11">
      <c r="A30" s="100" t="s">
        <v>25</v>
      </c>
      <c r="B30" s="100" t="str">
        <f>'Planilha orç.'!C43</f>
        <v>CPU-005</v>
      </c>
      <c r="C30" s="101" t="str">
        <f>'Planilha orç.'!D43</f>
        <v>FORNECIMENTO E INSTALAÇÃO DE BEBEDOURO EM AÇO INOX PARA USO EXTERNO, COM BASE EM CONCRETO E LIGAÇÃO HIDRÁULICA E ELÉTRICA COMPLETAS.</v>
      </c>
      <c r="D30" s="100" t="s">
        <v>226</v>
      </c>
      <c r="E30" s="100"/>
      <c r="F30" s="102"/>
      <c r="G30" s="102">
        <f>SUM(G31:G51)</f>
        <v>18158.63</v>
      </c>
    </row>
    <row r="31" ht="40.5" spans="1:11">
      <c r="A31" s="89" t="s">
        <v>227</v>
      </c>
      <c r="B31" s="97" t="s">
        <v>228</v>
      </c>
      <c r="C31" s="103" t="s">
        <v>229</v>
      </c>
      <c r="D31" s="98" t="s">
        <v>76</v>
      </c>
      <c r="E31" s="104">
        <v>1</v>
      </c>
      <c r="F31" s="105">
        <v>15670</v>
      </c>
      <c r="G31" s="106">
        <f>F31*E31</f>
        <v>15670</v>
      </c>
    </row>
    <row r="32" ht="27" customHeight="1" spans="1:11">
      <c r="A32" s="89" t="s">
        <v>218</v>
      </c>
      <c r="B32" s="97" t="s">
        <v>230</v>
      </c>
      <c r="C32" s="107" t="s">
        <v>231</v>
      </c>
      <c r="D32" s="98" t="s">
        <v>232</v>
      </c>
      <c r="E32" s="104">
        <v>0.064</v>
      </c>
      <c r="F32" s="105">
        <v>84.9</v>
      </c>
      <c r="G32" s="106">
        <f>F32*E32</f>
        <v>5.43</v>
      </c>
    </row>
    <row r="33" ht="13.5" spans="1:14">
      <c r="A33" s="89" t="s">
        <v>218</v>
      </c>
      <c r="B33" s="97" t="s">
        <v>233</v>
      </c>
      <c r="C33" s="107" t="s">
        <v>234</v>
      </c>
      <c r="D33" s="98" t="s">
        <v>232</v>
      </c>
      <c r="E33" s="104">
        <v>0.064</v>
      </c>
      <c r="F33" s="105">
        <v>674.74</v>
      </c>
      <c r="G33" s="106">
        <f>F33*E33</f>
        <v>43.18</v>
      </c>
    </row>
    <row r="34" ht="13.5" spans="1:14">
      <c r="A34" s="89" t="s">
        <v>218</v>
      </c>
      <c r="B34" s="97" t="s">
        <v>235</v>
      </c>
      <c r="C34" s="107" t="s">
        <v>236</v>
      </c>
      <c r="D34" s="98" t="s">
        <v>232</v>
      </c>
      <c r="E34" s="104">
        <v>0.005</v>
      </c>
      <c r="F34" s="105">
        <v>211.32</v>
      </c>
      <c r="G34" s="106">
        <f>E34*F34</f>
        <v>1.06</v>
      </c>
    </row>
    <row r="35" s="76" customFormat="1" ht="54" spans="1:14">
      <c r="A35" s="108" t="s">
        <v>218</v>
      </c>
      <c r="B35" s="109" t="s">
        <v>237</v>
      </c>
      <c r="C35" s="110" t="s">
        <v>238</v>
      </c>
      <c r="D35" s="111" t="s">
        <v>226</v>
      </c>
      <c r="E35" s="112">
        <v>4</v>
      </c>
      <c r="F35" s="113">
        <v>2.52</v>
      </c>
      <c r="G35" s="114">
        <f>E35*F35</f>
        <v>10.08</v>
      </c>
    </row>
    <row r="36" s="76" customFormat="1" ht="13.5" spans="1:14">
      <c r="A36" s="108" t="s">
        <v>218</v>
      </c>
      <c r="B36" s="109" t="s">
        <v>239</v>
      </c>
      <c r="C36" s="115" t="s">
        <v>240</v>
      </c>
      <c r="D36" s="111" t="s">
        <v>232</v>
      </c>
      <c r="E36" s="112">
        <v>0.01</v>
      </c>
      <c r="F36" s="113">
        <v>84.9</v>
      </c>
      <c r="G36" s="114">
        <f>E36*F36</f>
        <v>0.85</v>
      </c>
    </row>
    <row r="37" ht="13.5" spans="1:14">
      <c r="A37" s="89" t="s">
        <v>218</v>
      </c>
      <c r="B37" s="97" t="s">
        <v>241</v>
      </c>
      <c r="C37" s="107" t="s">
        <v>242</v>
      </c>
      <c r="D37" s="98" t="s">
        <v>243</v>
      </c>
      <c r="E37" s="104">
        <v>1</v>
      </c>
      <c r="F37" s="105">
        <v>33.63</v>
      </c>
      <c r="G37" s="106">
        <f>E37*F37</f>
        <v>33.63</v>
      </c>
    </row>
    <row r="38" ht="13.5" spans="1:14">
      <c r="A38" s="89" t="s">
        <v>218</v>
      </c>
      <c r="B38" s="97" t="s">
        <v>244</v>
      </c>
      <c r="C38" s="107" t="s">
        <v>245</v>
      </c>
      <c r="D38" s="98" t="s">
        <v>243</v>
      </c>
      <c r="E38" s="104">
        <v>2</v>
      </c>
      <c r="F38" s="105">
        <v>24.89</v>
      </c>
      <c r="G38" s="106">
        <f t="shared" ref="G38:G51" si="1">F38*E38</f>
        <v>49.78</v>
      </c>
    </row>
    <row r="39" ht="51" spans="1:14">
      <c r="A39" s="89" t="s">
        <v>218</v>
      </c>
      <c r="B39" s="116" t="s">
        <v>246</v>
      </c>
      <c r="C39" s="117" t="s">
        <v>247</v>
      </c>
      <c r="D39" s="98" t="s">
        <v>248</v>
      </c>
      <c r="E39" s="104">
        <v>1</v>
      </c>
      <c r="F39" s="105">
        <v>34.59</v>
      </c>
      <c r="G39" s="106">
        <f t="shared" si="1"/>
        <v>34.59</v>
      </c>
    </row>
    <row r="40" ht="51" spans="1:14">
      <c r="A40" s="89" t="s">
        <v>218</v>
      </c>
      <c r="B40" s="118" t="s">
        <v>249</v>
      </c>
      <c r="C40" s="117" t="s">
        <v>250</v>
      </c>
      <c r="D40" s="98" t="s">
        <v>81</v>
      </c>
      <c r="E40" s="104">
        <v>60</v>
      </c>
      <c r="F40" s="105">
        <v>4.76</v>
      </c>
      <c r="G40" s="106">
        <f t="shared" si="1"/>
        <v>285.6</v>
      </c>
    </row>
    <row r="41" ht="25.5" spans="1:14">
      <c r="A41" s="89" t="s">
        <v>218</v>
      </c>
      <c r="B41" s="118" t="s">
        <v>251</v>
      </c>
      <c r="C41" s="117" t="s">
        <v>252</v>
      </c>
      <c r="D41" s="98" t="s">
        <v>81</v>
      </c>
      <c r="E41" s="104">
        <v>30</v>
      </c>
      <c r="F41" s="105">
        <v>10.12</v>
      </c>
      <c r="G41" s="106">
        <f t="shared" si="1"/>
        <v>303.6</v>
      </c>
    </row>
    <row r="42" ht="38.25" spans="1:14">
      <c r="A42" s="89" t="s">
        <v>218</v>
      </c>
      <c r="B42" s="118" t="s">
        <v>253</v>
      </c>
      <c r="C42" s="117" t="s">
        <v>254</v>
      </c>
      <c r="D42" s="98" t="s">
        <v>248</v>
      </c>
      <c r="E42" s="104">
        <v>1</v>
      </c>
      <c r="F42" s="105">
        <v>219.84</v>
      </c>
      <c r="G42" s="106">
        <f t="shared" si="1"/>
        <v>219.84</v>
      </c>
      <c r="N42" s="77" t="e">
        <f>UPPER(#REF!)</f>
        <v>#REF!</v>
      </c>
    </row>
    <row r="43" ht="51" spans="1:14">
      <c r="A43" s="89" t="s">
        <v>218</v>
      </c>
      <c r="B43" s="119" t="s">
        <v>255</v>
      </c>
      <c r="C43" s="120" t="s">
        <v>256</v>
      </c>
      <c r="D43" s="98" t="s">
        <v>81</v>
      </c>
      <c r="E43" s="104">
        <v>15</v>
      </c>
      <c r="F43" s="105">
        <v>26.84</v>
      </c>
      <c r="G43" s="106">
        <f t="shared" si="1"/>
        <v>402.6</v>
      </c>
    </row>
    <row r="44" ht="25.5" spans="1:14">
      <c r="A44" s="89" t="s">
        <v>218</v>
      </c>
      <c r="B44" s="119" t="s">
        <v>257</v>
      </c>
      <c r="C44" s="120" t="s">
        <v>258</v>
      </c>
      <c r="D44" s="98" t="s">
        <v>248</v>
      </c>
      <c r="E44" s="104">
        <v>5</v>
      </c>
      <c r="F44" s="105">
        <v>48.7</v>
      </c>
      <c r="G44" s="106">
        <f t="shared" si="1"/>
        <v>243.5</v>
      </c>
    </row>
    <row r="45" ht="25.5" spans="1:14">
      <c r="A45" s="89" t="s">
        <v>218</v>
      </c>
      <c r="B45" s="119" t="s">
        <v>259</v>
      </c>
      <c r="C45" s="120" t="s">
        <v>260</v>
      </c>
      <c r="D45" s="98" t="s">
        <v>248</v>
      </c>
      <c r="E45" s="104">
        <v>5</v>
      </c>
      <c r="F45" s="105">
        <v>6.61</v>
      </c>
      <c r="G45" s="106">
        <f t="shared" si="1"/>
        <v>33.05</v>
      </c>
    </row>
    <row r="46" ht="25.5" spans="1:14">
      <c r="A46" s="89" t="s">
        <v>218</v>
      </c>
      <c r="B46" s="97" t="s">
        <v>261</v>
      </c>
      <c r="C46" s="121" t="s">
        <v>262</v>
      </c>
      <c r="D46" s="98" t="s">
        <v>263</v>
      </c>
      <c r="E46" s="104">
        <v>15</v>
      </c>
      <c r="F46" s="105">
        <v>27.13</v>
      </c>
      <c r="G46" s="122">
        <f t="shared" si="1"/>
        <v>406.95</v>
      </c>
    </row>
    <row r="47" spans="1:14">
      <c r="A47" s="89" t="s">
        <v>47</v>
      </c>
      <c r="B47" s="97">
        <v>94656</v>
      </c>
      <c r="C47" s="95" t="s">
        <v>264</v>
      </c>
      <c r="D47" s="98" t="s">
        <v>226</v>
      </c>
      <c r="E47" s="104">
        <v>2</v>
      </c>
      <c r="F47" s="105">
        <v>3.93</v>
      </c>
      <c r="G47" s="122">
        <f t="shared" si="1"/>
        <v>7.86</v>
      </c>
    </row>
    <row r="48" spans="1:14">
      <c r="A48" s="89" t="s">
        <v>218</v>
      </c>
      <c r="B48" s="97" t="s">
        <v>265</v>
      </c>
      <c r="C48" s="95" t="s">
        <v>266</v>
      </c>
      <c r="D48" s="98" t="s">
        <v>226</v>
      </c>
      <c r="E48" s="104">
        <v>1</v>
      </c>
      <c r="F48" s="105">
        <v>13.37</v>
      </c>
      <c r="G48" s="122">
        <f t="shared" si="1"/>
        <v>13.37</v>
      </c>
    </row>
    <row r="49" spans="1:7">
      <c r="A49" s="89" t="s">
        <v>218</v>
      </c>
      <c r="B49" s="97" t="s">
        <v>267</v>
      </c>
      <c r="C49" s="95" t="s">
        <v>268</v>
      </c>
      <c r="D49" s="98" t="s">
        <v>226</v>
      </c>
      <c r="E49" s="104">
        <v>1</v>
      </c>
      <c r="F49" s="105">
        <v>40.67</v>
      </c>
      <c r="G49" s="122">
        <f t="shared" si="1"/>
        <v>40.67</v>
      </c>
    </row>
    <row r="50" ht="25.5" spans="1:7">
      <c r="A50" s="89" t="s">
        <v>218</v>
      </c>
      <c r="B50" s="97" t="s">
        <v>269</v>
      </c>
      <c r="C50" s="121" t="s">
        <v>270</v>
      </c>
      <c r="D50" s="98" t="s">
        <v>263</v>
      </c>
      <c r="E50" s="104">
        <v>6</v>
      </c>
      <c r="F50" s="105">
        <v>42.33</v>
      </c>
      <c r="G50" s="122">
        <f t="shared" si="1"/>
        <v>253.98</v>
      </c>
    </row>
    <row r="51" ht="31" customHeight="1" spans="1:7">
      <c r="A51" s="89" t="s">
        <v>218</v>
      </c>
      <c r="B51" s="97" t="s">
        <v>271</v>
      </c>
      <c r="C51" s="96" t="s">
        <v>272</v>
      </c>
      <c r="D51" s="98" t="s">
        <v>226</v>
      </c>
      <c r="E51" s="104">
        <v>1</v>
      </c>
      <c r="F51" s="105">
        <v>99.01</v>
      </c>
      <c r="G51" s="122">
        <f t="shared" si="1"/>
        <v>99.01</v>
      </c>
    </row>
    <row r="52" s="74" customFormat="1" ht="38.25" spans="1:7">
      <c r="A52" s="100" t="s">
        <v>25</v>
      </c>
      <c r="B52" s="100" t="str">
        <f>'Planilha orç.'!C44</f>
        <v>CPU-006</v>
      </c>
      <c r="C52" s="100" t="str">
        <f>'Planilha orç.'!D44</f>
        <v>FORNECIMENTO E INSTALAÇÃO DE LIXEIRA METÁLICA PARA ÁREA EXTERNA, CAPACIDADE MÍNIMA 50L, FIXADA EM BASE DE CONCRETO FCK 20 MPA.</v>
      </c>
      <c r="D52" s="100"/>
      <c r="E52" s="100"/>
      <c r="F52" s="102"/>
      <c r="G52" s="102">
        <f>SUM(G53:G61)</f>
        <v>2117.95</v>
      </c>
    </row>
    <row r="53" ht="51" spans="1:7">
      <c r="A53" s="89" t="s">
        <v>227</v>
      </c>
      <c r="B53" s="123" t="s">
        <v>228</v>
      </c>
      <c r="C53" s="123" t="s">
        <v>273</v>
      </c>
      <c r="D53" s="123" t="s">
        <v>33</v>
      </c>
      <c r="E53" s="124">
        <v>1</v>
      </c>
      <c r="F53" s="125">
        <v>1997.7</v>
      </c>
      <c r="G53" s="126">
        <f t="shared" ref="G53:G61" si="2">F53*E53</f>
        <v>1997.7</v>
      </c>
    </row>
    <row r="54" ht="13.5" spans="1:7">
      <c r="A54" s="89" t="s">
        <v>218</v>
      </c>
      <c r="B54" s="97" t="s">
        <v>233</v>
      </c>
      <c r="C54" s="107" t="s">
        <v>234</v>
      </c>
      <c r="D54" s="123" t="s">
        <v>232</v>
      </c>
      <c r="E54" s="124">
        <v>0.032</v>
      </c>
      <c r="F54" s="126">
        <v>674.74</v>
      </c>
      <c r="G54" s="126">
        <f t="shared" si="2"/>
        <v>21.59</v>
      </c>
    </row>
    <row r="55" ht="13.5" spans="1:7">
      <c r="A55" s="89" t="s">
        <v>218</v>
      </c>
      <c r="B55" s="97" t="s">
        <v>235</v>
      </c>
      <c r="C55" s="107" t="s">
        <v>236</v>
      </c>
      <c r="D55" s="123" t="s">
        <v>232</v>
      </c>
      <c r="E55" s="124">
        <v>0.005</v>
      </c>
      <c r="F55" s="126">
        <v>211.32</v>
      </c>
      <c r="G55" s="126">
        <f t="shared" si="2"/>
        <v>1.06</v>
      </c>
    </row>
    <row r="56" ht="54" spans="1:7">
      <c r="A56" s="89" t="s">
        <v>218</v>
      </c>
      <c r="B56" s="109" t="s">
        <v>237</v>
      </c>
      <c r="C56" s="110" t="s">
        <v>238</v>
      </c>
      <c r="D56" s="123" t="s">
        <v>33</v>
      </c>
      <c r="E56" s="124">
        <v>4</v>
      </c>
      <c r="F56" s="126">
        <v>2.52</v>
      </c>
      <c r="G56" s="126">
        <f t="shared" si="2"/>
        <v>10.08</v>
      </c>
    </row>
    <row r="57" spans="1:7">
      <c r="A57" s="89" t="s">
        <v>218</v>
      </c>
      <c r="B57" s="123" t="s">
        <v>274</v>
      </c>
      <c r="C57" s="95" t="s">
        <v>275</v>
      </c>
      <c r="D57" s="123" t="s">
        <v>232</v>
      </c>
      <c r="E57" s="124">
        <v>0.003</v>
      </c>
      <c r="F57" s="126">
        <v>181.5</v>
      </c>
      <c r="G57" s="126">
        <f t="shared" si="2"/>
        <v>0.54</v>
      </c>
    </row>
    <row r="58" ht="13.5" spans="1:7">
      <c r="A58" s="89" t="s">
        <v>218</v>
      </c>
      <c r="B58" s="97" t="s">
        <v>241</v>
      </c>
      <c r="C58" s="107" t="s">
        <v>242</v>
      </c>
      <c r="D58" s="123" t="s">
        <v>208</v>
      </c>
      <c r="E58" s="124">
        <v>1</v>
      </c>
      <c r="F58" s="126">
        <v>33.63</v>
      </c>
      <c r="G58" s="126">
        <f t="shared" si="2"/>
        <v>33.63</v>
      </c>
    </row>
    <row r="59" ht="13.5" spans="1:7">
      <c r="A59" s="89" t="s">
        <v>218</v>
      </c>
      <c r="B59" s="97" t="s">
        <v>244</v>
      </c>
      <c r="C59" s="107" t="s">
        <v>245</v>
      </c>
      <c r="D59" s="123" t="s">
        <v>208</v>
      </c>
      <c r="E59" s="124">
        <v>2</v>
      </c>
      <c r="F59" s="126">
        <v>24.89</v>
      </c>
      <c r="G59" s="126">
        <f t="shared" si="2"/>
        <v>49.78</v>
      </c>
    </row>
    <row r="60" ht="13.5" spans="1:7">
      <c r="A60" s="89" t="s">
        <v>218</v>
      </c>
      <c r="B60" s="97" t="s">
        <v>230</v>
      </c>
      <c r="C60" s="107" t="s">
        <v>231</v>
      </c>
      <c r="D60" s="123" t="s">
        <v>232</v>
      </c>
      <c r="E60" s="124">
        <v>0.032</v>
      </c>
      <c r="F60" s="126">
        <v>84.9</v>
      </c>
      <c r="G60" s="126">
        <f t="shared" si="2"/>
        <v>2.72</v>
      </c>
    </row>
    <row r="61" ht="13.5" spans="1:7">
      <c r="A61" s="89" t="s">
        <v>218</v>
      </c>
      <c r="B61" s="109" t="s">
        <v>239</v>
      </c>
      <c r="C61" s="115" t="s">
        <v>240</v>
      </c>
      <c r="D61" s="123" t="s">
        <v>232</v>
      </c>
      <c r="E61" s="124">
        <v>0.01</v>
      </c>
      <c r="F61" s="126">
        <v>84.9</v>
      </c>
      <c r="G61" s="126">
        <f t="shared" si="2"/>
        <v>0.85</v>
      </c>
    </row>
    <row r="62" s="74" customFormat="1" ht="65" customHeight="1" spans="1:7">
      <c r="A62" s="100" t="s">
        <v>25</v>
      </c>
      <c r="B62" s="100" t="str">
        <f>'Planilha orç.'!C46</f>
        <v>CPU-007</v>
      </c>
      <c r="C62" s="100" t="str">
        <f>'Planilha orç.'!D46</f>
        <v>FORNECIMENTO E INSTALAÇÃO DE ABRIGO METÁLICO PARA PONTO DE ÔNIBUS, INCLUSIVE ESTRUTURA E COBERTURA, EXECUÇÃO DE BASES EM CONCRETO FCK 20 MPA, ESCAVAÇÃO MANUAL, EXECUÇÃO DE PISO EM CONCRETO NO ENTORNO, REGULARIZAÇÃO, ACABAMENTO E LIMPEZA FINAL.</v>
      </c>
      <c r="D62" s="100"/>
      <c r="E62" s="100"/>
      <c r="F62" s="102"/>
      <c r="G62" s="102">
        <f>SUM(G63:G68)</f>
        <v>9488.37</v>
      </c>
    </row>
    <row r="63" ht="25.5" spans="1:7">
      <c r="A63" s="89" t="s">
        <v>227</v>
      </c>
      <c r="B63" s="123" t="s">
        <v>228</v>
      </c>
      <c r="C63" s="123" t="s">
        <v>276</v>
      </c>
      <c r="D63" s="123" t="s">
        <v>226</v>
      </c>
      <c r="E63" s="124">
        <v>1</v>
      </c>
      <c r="F63" s="125">
        <v>8700</v>
      </c>
      <c r="G63" s="126">
        <f t="shared" ref="G63:G68" si="3">F63*E63</f>
        <v>8700</v>
      </c>
    </row>
    <row r="64" spans="1:7">
      <c r="A64" s="89" t="s">
        <v>218</v>
      </c>
      <c r="B64" s="127" t="s">
        <v>277</v>
      </c>
      <c r="C64" s="123" t="s">
        <v>278</v>
      </c>
      <c r="D64" s="123" t="s">
        <v>208</v>
      </c>
      <c r="E64" s="124">
        <v>4</v>
      </c>
      <c r="F64" s="125">
        <v>33.38</v>
      </c>
      <c r="G64" s="126">
        <f t="shared" si="3"/>
        <v>133.52</v>
      </c>
    </row>
    <row r="65" ht="13.5" spans="1:7">
      <c r="A65" s="89" t="s">
        <v>218</v>
      </c>
      <c r="B65" s="97" t="s">
        <v>230</v>
      </c>
      <c r="C65" s="107" t="s">
        <v>231</v>
      </c>
      <c r="D65" s="123" t="s">
        <v>232</v>
      </c>
      <c r="E65" s="124">
        <v>0.128</v>
      </c>
      <c r="F65" s="126">
        <v>84.9</v>
      </c>
      <c r="G65" s="126">
        <f t="shared" si="3"/>
        <v>10.87</v>
      </c>
    </row>
    <row r="66" ht="13.5" spans="1:7">
      <c r="A66" s="89" t="s">
        <v>218</v>
      </c>
      <c r="B66" s="97" t="s">
        <v>233</v>
      </c>
      <c r="C66" s="107" t="s">
        <v>234</v>
      </c>
      <c r="D66" s="123" t="s">
        <v>232</v>
      </c>
      <c r="E66" s="124">
        <v>0.128</v>
      </c>
      <c r="F66" s="126">
        <v>674.74</v>
      </c>
      <c r="G66" s="126">
        <f t="shared" si="3"/>
        <v>86.37</v>
      </c>
    </row>
    <row r="67" ht="27" spans="1:7">
      <c r="A67" s="128" t="s">
        <v>47</v>
      </c>
      <c r="B67" s="128">
        <v>104626</v>
      </c>
      <c r="C67" s="129" t="s">
        <v>279</v>
      </c>
      <c r="D67" s="123" t="s">
        <v>232</v>
      </c>
      <c r="E67" s="124">
        <v>0.3</v>
      </c>
      <c r="F67" s="130">
        <v>810.94</v>
      </c>
      <c r="G67" s="126">
        <f t="shared" si="3"/>
        <v>243.28</v>
      </c>
    </row>
    <row r="68" spans="1:7">
      <c r="A68" s="89" t="s">
        <v>218</v>
      </c>
      <c r="B68" s="95" t="s">
        <v>280</v>
      </c>
      <c r="C68" s="95" t="s">
        <v>281</v>
      </c>
      <c r="D68" s="123" t="s">
        <v>226</v>
      </c>
      <c r="E68" s="124">
        <v>1</v>
      </c>
      <c r="F68" s="126">
        <v>314.33</v>
      </c>
      <c r="G68" s="126">
        <f t="shared" si="3"/>
        <v>314.33</v>
      </c>
    </row>
    <row r="69" spans="1:7">
      <c r="A69" s="86" t="s">
        <v>25</v>
      </c>
      <c r="B69" s="86" t="str">
        <f>'Planilha orç.'!C41</f>
        <v>CPU-008</v>
      </c>
      <c r="C69" s="86" t="str">
        <f>'Planilha orç.'!D41</f>
        <v>PLANTIO DE MUDAS PARA RECOMPOSIÇÃO DE CANTEIROS</v>
      </c>
      <c r="D69" s="86" t="s">
        <v>282</v>
      </c>
      <c r="E69" s="86"/>
      <c r="F69" s="88"/>
      <c r="G69" s="88">
        <f>G70+G71</f>
        <v>281.04</v>
      </c>
    </row>
    <row r="70" spans="1:7">
      <c r="A70" s="89" t="s">
        <v>47</v>
      </c>
      <c r="B70" s="131">
        <v>98519</v>
      </c>
      <c r="C70" s="96" t="s">
        <v>283</v>
      </c>
      <c r="D70" s="98" t="s">
        <v>37</v>
      </c>
      <c r="E70" s="132">
        <v>1</v>
      </c>
      <c r="F70" s="133">
        <v>4.29</v>
      </c>
      <c r="G70" s="126">
        <f>F70*E70</f>
        <v>4.29</v>
      </c>
    </row>
    <row r="71" spans="1:7">
      <c r="A71" s="89" t="s">
        <v>73</v>
      </c>
      <c r="B71" s="97" t="s">
        <v>284</v>
      </c>
      <c r="C71" s="121" t="s">
        <v>285</v>
      </c>
      <c r="D71" s="123" t="s">
        <v>226</v>
      </c>
      <c r="E71" s="134">
        <v>25</v>
      </c>
      <c r="F71" s="133">
        <v>11.07</v>
      </c>
      <c r="G71" s="126">
        <f>F71*E71</f>
        <v>276.75</v>
      </c>
    </row>
    <row r="72" spans="1:7">
      <c r="A72" s="89" t="s">
        <v>218</v>
      </c>
      <c r="B72" s="97" t="s">
        <v>244</v>
      </c>
      <c r="C72" s="121" t="s">
        <v>286</v>
      </c>
      <c r="D72" s="123" t="s">
        <v>287</v>
      </c>
      <c r="E72" s="134">
        <v>0.25</v>
      </c>
      <c r="F72" s="126">
        <v>24.89</v>
      </c>
      <c r="G72" s="126">
        <f>F72*E72</f>
        <v>6.22</v>
      </c>
    </row>
    <row r="73" spans="1:7">
      <c r="A73" s="89" t="s">
        <v>218</v>
      </c>
      <c r="B73" s="97" t="s">
        <v>288</v>
      </c>
      <c r="C73" s="121" t="s">
        <v>289</v>
      </c>
      <c r="D73" s="123" t="s">
        <v>287</v>
      </c>
      <c r="E73" s="134">
        <v>0.05</v>
      </c>
      <c r="F73" s="126">
        <v>29.04</v>
      </c>
      <c r="G73" s="126">
        <f>F73*E73</f>
        <v>1.45</v>
      </c>
    </row>
    <row r="74" spans="1:7">
      <c r="A74" s="135" t="s">
        <v>47</v>
      </c>
      <c r="B74" s="89" t="s">
        <v>290</v>
      </c>
      <c r="C74" s="121" t="s">
        <v>291</v>
      </c>
      <c r="D74" s="123" t="s">
        <v>37</v>
      </c>
      <c r="E74" s="134">
        <v>1</v>
      </c>
      <c r="F74" s="126">
        <v>6.16</v>
      </c>
      <c r="G74" s="126">
        <f>F74*E74</f>
        <v>6.16</v>
      </c>
    </row>
    <row r="75" ht="38.25" hidden="1" spans="1:7">
      <c r="A75" s="86" t="s">
        <v>25</v>
      </c>
      <c r="B75" s="86" t="str">
        <f>'Planilha orç.'!C31</f>
        <v>FORNECEDOR</v>
      </c>
      <c r="C75" s="86" t="str">
        <f>'Planilha orç.'!D31</f>
        <v>FORNECIMENTO E INSTALAÇÃO DE TACHÕES REFLETIVOS AMARELOS (46 X 14 X 12 CM), INCLUSIVE FIXAÇÃO COM ADESIVO E PREPARO DA SUPERFÍCIE.</v>
      </c>
      <c r="D75" s="86" t="s">
        <v>226</v>
      </c>
      <c r="E75" s="86"/>
      <c r="F75" s="88"/>
      <c r="G75" s="88">
        <f>SUM(G76:G81)</f>
        <v>236.93</v>
      </c>
    </row>
    <row r="76" hidden="1" spans="1:7">
      <c r="A76" s="89" t="s">
        <v>227</v>
      </c>
      <c r="B76" s="131" t="s">
        <v>292</v>
      </c>
      <c r="C76" s="136" t="s">
        <v>293</v>
      </c>
      <c r="D76" s="98" t="s">
        <v>226</v>
      </c>
      <c r="E76" s="132">
        <v>1</v>
      </c>
      <c r="F76" s="133">
        <v>230</v>
      </c>
      <c r="G76" s="137">
        <f t="shared" ref="G76:G81" si="4">F76*E76</f>
        <v>230</v>
      </c>
    </row>
    <row r="77" ht="25.5" hidden="1" spans="1:7">
      <c r="A77" s="89" t="s">
        <v>227</v>
      </c>
      <c r="B77" s="97"/>
      <c r="C77" s="138" t="s">
        <v>294</v>
      </c>
      <c r="D77" s="123" t="s">
        <v>226</v>
      </c>
      <c r="E77" s="134">
        <v>0.22</v>
      </c>
      <c r="F77" s="126"/>
      <c r="G77" s="137">
        <f t="shared" si="4"/>
        <v>0</v>
      </c>
    </row>
    <row r="78" hidden="1" spans="1:7">
      <c r="A78" s="89" t="s">
        <v>47</v>
      </c>
      <c r="B78" s="139">
        <v>88309</v>
      </c>
      <c r="C78" s="140" t="s">
        <v>295</v>
      </c>
      <c r="D78" s="141" t="s">
        <v>243</v>
      </c>
      <c r="E78" s="142">
        <v>0.0113</v>
      </c>
      <c r="F78" s="143">
        <v>33.62</v>
      </c>
      <c r="G78" s="137">
        <f t="shared" si="4"/>
        <v>0.38</v>
      </c>
    </row>
    <row r="79" hidden="1" spans="1:7">
      <c r="A79" s="89" t="s">
        <v>47</v>
      </c>
      <c r="B79" s="139">
        <v>88316</v>
      </c>
      <c r="C79" s="140" t="s">
        <v>210</v>
      </c>
      <c r="D79" s="141" t="s">
        <v>243</v>
      </c>
      <c r="E79" s="142">
        <v>0.2599</v>
      </c>
      <c r="F79" s="143">
        <v>24.88</v>
      </c>
      <c r="G79" s="137">
        <f t="shared" si="4"/>
        <v>6.47</v>
      </c>
    </row>
    <row r="80" ht="38.25" hidden="1" spans="1:7">
      <c r="A80" s="89" t="s">
        <v>47</v>
      </c>
      <c r="B80" s="139">
        <v>102274</v>
      </c>
      <c r="C80" s="144" t="s">
        <v>296</v>
      </c>
      <c r="D80" s="141" t="s">
        <v>297</v>
      </c>
      <c r="E80" s="142">
        <v>0.0353</v>
      </c>
      <c r="F80" s="143">
        <v>0.89</v>
      </c>
      <c r="G80" s="137">
        <f t="shared" si="4"/>
        <v>0.03</v>
      </c>
    </row>
    <row r="81" ht="38.25" hidden="1" spans="1:10">
      <c r="A81" s="89" t="s">
        <v>47</v>
      </c>
      <c r="B81" s="139">
        <v>102275</v>
      </c>
      <c r="C81" s="144" t="s">
        <v>298</v>
      </c>
      <c r="D81" s="141" t="s">
        <v>299</v>
      </c>
      <c r="E81" s="142">
        <v>0.0137</v>
      </c>
      <c r="F81" s="143">
        <v>3.67</v>
      </c>
      <c r="G81" s="137">
        <f t="shared" si="4"/>
        <v>0.05</v>
      </c>
    </row>
    <row r="82" spans="1:10">
      <c r="A82" s="86" t="s">
        <v>25</v>
      </c>
      <c r="B82" s="86" t="str">
        <f>'Planilha orç.'!C36</f>
        <v>CPU-009</v>
      </c>
      <c r="C82" s="86" t="str">
        <f>'Planilha orç.'!D36</f>
        <v>CARGA E TRANSPORTE DO MATERIAL DEMOLIDO</v>
      </c>
      <c r="D82" s="86" t="s">
        <v>60</v>
      </c>
      <c r="E82" s="86"/>
      <c r="F82" s="88"/>
      <c r="G82" s="88">
        <f>G83+G84</f>
        <v>80.99</v>
      </c>
    </row>
    <row r="83" ht="25.5" spans="1:10">
      <c r="A83" s="89" t="s">
        <v>47</v>
      </c>
      <c r="B83" s="131">
        <v>91386</v>
      </c>
      <c r="C83" s="96" t="s">
        <v>300</v>
      </c>
      <c r="D83" s="98" t="s">
        <v>299</v>
      </c>
      <c r="E83" s="132">
        <v>0.25</v>
      </c>
      <c r="F83" s="133">
        <v>274.2</v>
      </c>
      <c r="G83" s="126">
        <f>F83*E83</f>
        <v>68.55</v>
      </c>
    </row>
    <row r="84" spans="1:10">
      <c r="A84" s="89" t="s">
        <v>73</v>
      </c>
      <c r="B84" s="97">
        <v>88316</v>
      </c>
      <c r="C84" s="121" t="s">
        <v>210</v>
      </c>
      <c r="D84" s="123" t="s">
        <v>208</v>
      </c>
      <c r="E84" s="134">
        <v>0.5</v>
      </c>
      <c r="F84" s="133">
        <v>24.88</v>
      </c>
      <c r="G84" s="126">
        <f>F84*E84</f>
        <v>12.44</v>
      </c>
    </row>
    <row r="85" spans="1:10">
      <c r="A85" s="145"/>
      <c r="B85" s="146"/>
      <c r="C85" s="147"/>
      <c r="D85" s="141"/>
      <c r="E85" s="142"/>
      <c r="F85" s="148"/>
      <c r="G85" s="149"/>
    </row>
    <row r="86" ht="16.5" spans="1:10">
      <c r="A86" s="145"/>
      <c r="B86" s="146"/>
      <c r="C86" s="150" t="s">
        <v>112</v>
      </c>
      <c r="D86" s="150"/>
      <c r="E86" s="150"/>
      <c r="F86" s="150"/>
      <c r="G86" s="150"/>
      <c r="H86" s="150"/>
      <c r="I86" s="150"/>
      <c r="J86" s="150"/>
    </row>
    <row r="87" ht="16.5" spans="1:10">
      <c r="A87" s="145"/>
      <c r="B87" s="146"/>
      <c r="C87" s="151" t="s">
        <v>192</v>
      </c>
      <c r="D87" s="151"/>
      <c r="E87" s="151"/>
      <c r="F87" s="151"/>
      <c r="G87" s="151"/>
      <c r="H87" s="151"/>
      <c r="I87" s="151"/>
      <c r="J87" s="151"/>
    </row>
    <row r="88" spans="1:10">
      <c r="A88" s="145"/>
      <c r="B88" s="146"/>
      <c r="C88" s="147"/>
      <c r="D88" s="141"/>
      <c r="E88" s="142"/>
      <c r="F88" s="148"/>
      <c r="G88" s="149"/>
    </row>
    <row r="89" spans="1:10">
      <c r="A89" s="152"/>
      <c r="B89" s="146"/>
      <c r="C89" s="140"/>
      <c r="D89" s="141"/>
      <c r="E89" s="142"/>
      <c r="F89" s="148"/>
      <c r="G89" s="149"/>
    </row>
    <row r="90" spans="1:10">
      <c r="A90" s="152"/>
      <c r="B90" s="146"/>
      <c r="C90" s="140"/>
      <c r="D90" s="141"/>
      <c r="E90" s="142"/>
      <c r="F90" s="148"/>
      <c r="G90" s="149"/>
    </row>
    <row r="91" spans="1:10">
      <c r="A91" s="152"/>
      <c r="B91" s="146"/>
      <c r="C91" s="140"/>
      <c r="D91" s="141"/>
      <c r="E91" s="142"/>
      <c r="F91" s="148"/>
      <c r="G91" s="149"/>
    </row>
    <row r="92" spans="1:10">
      <c r="A92" s="152"/>
      <c r="B92" s="146"/>
      <c r="C92" s="140"/>
      <c r="D92" s="141"/>
      <c r="E92" s="142"/>
      <c r="F92" s="148"/>
      <c r="G92" s="149"/>
    </row>
    <row r="93" spans="1:10">
      <c r="A93" s="152"/>
      <c r="B93" s="146"/>
      <c r="C93" s="140"/>
      <c r="D93" s="141"/>
      <c r="E93" s="142"/>
      <c r="F93" s="148"/>
      <c r="G93" s="149"/>
    </row>
    <row r="94" spans="1:10">
      <c r="A94" s="152"/>
      <c r="B94" s="146"/>
      <c r="C94" s="140"/>
      <c r="D94" s="141"/>
      <c r="E94" s="142"/>
      <c r="F94" s="148"/>
      <c r="G94" s="149"/>
    </row>
    <row r="95" spans="1:10">
      <c r="A95" s="152"/>
      <c r="B95" s="146"/>
      <c r="C95" s="140"/>
      <c r="D95" s="141"/>
      <c r="E95" s="142"/>
      <c r="F95" s="148"/>
      <c r="G95" s="149"/>
    </row>
    <row r="96" spans="1:10">
      <c r="A96" s="153"/>
      <c r="B96" s="154"/>
      <c r="C96" s="155"/>
      <c r="D96" s="156"/>
      <c r="E96" s="157" t="s">
        <v>301</v>
      </c>
      <c r="F96" s="157"/>
      <c r="G96" s="157"/>
    </row>
    <row r="97" customHeight="1" spans="1:9">
      <c r="A97" s="158"/>
      <c r="B97" s="159" t="str">
        <f>'Planilha orç.'!B51:D51</f>
        <v>Eng. Civil Lorena Realino Fraga</v>
      </c>
      <c r="C97" s="160"/>
      <c r="D97" s="161"/>
      <c r="E97" s="159" t="s">
        <v>113</v>
      </c>
      <c r="F97" s="160"/>
      <c r="G97" s="161"/>
      <c r="I97" s="77">
        <f>1825/2</f>
        <v>912.5</v>
      </c>
    </row>
  </sheetData>
  <mergeCells count="18">
    <mergeCell ref="A1:G1"/>
    <mergeCell ref="A2:G2"/>
    <mergeCell ref="A3:G3"/>
    <mergeCell ref="A4:G4"/>
    <mergeCell ref="A5:G5"/>
    <mergeCell ref="A6:D6"/>
    <mergeCell ref="E6:G6"/>
    <mergeCell ref="A7:D7"/>
    <mergeCell ref="F7:G7"/>
    <mergeCell ref="A8:D8"/>
    <mergeCell ref="F8:G8"/>
    <mergeCell ref="A9:D9"/>
    <mergeCell ref="C86:J86"/>
    <mergeCell ref="C87:J87"/>
    <mergeCell ref="E96:G96"/>
    <mergeCell ref="B97:D97"/>
    <mergeCell ref="E97:G97"/>
    <mergeCell ref="E8:E9"/>
  </mergeCells>
  <dataValidations count="2">
    <dataValidation type="list" allowBlank="1" sqref="A67">
      <formula1>"SINAPI,SINAPI-I,SICRO,Composição,Cotação"</formula1>
    </dataValidation>
    <dataValidation type="decimal" operator="greaterThan" allowBlank="1" showErrorMessage="1" error="Apenas números decimais maiores que zero." sqref="F67">
      <formula1>0</formula1>
    </dataValidation>
  </dataValidations>
  <pageMargins left="0.511811023622047" right="0.511811023622047" top="0.78740157480315" bottom="0.78740157480315" header="0.31496062992126" footer="0.31496062992126"/>
  <pageSetup paperSize="9" scale="85" orientation="portrait"/>
  <headerFooter>
    <oddFooter>&amp;R&amp;P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view="pageBreakPreview" zoomScale="154" zoomScaleNormal="100" topLeftCell="A17" workbookViewId="0">
      <selection activeCell="H28" sqref="H28"/>
    </sheetView>
  </sheetViews>
  <sheetFormatPr defaultColWidth="9" defaultRowHeight="12.75" outlineLevelCol="3"/>
  <cols>
    <col min="1" max="1" width="33" customWidth="1"/>
    <col min="2" max="2" width="13.7142857142857" customWidth="1"/>
    <col min="3" max="4" width="14.5714285714286" customWidth="1"/>
  </cols>
  <sheetData>
    <row r="1" ht="41.25" customHeight="1" spans="1:4">
      <c r="A1" s="11" t="str">
        <f>'Planilha orç.'!A1</f>
        <v>MUNICIPIO DE JOÃO MONLEVADE - MG </v>
      </c>
      <c r="B1" s="12"/>
      <c r="C1" s="12"/>
      <c r="D1" s="13"/>
    </row>
    <row r="2" ht="6" customHeight="1" spans="1:4">
      <c r="A2" s="14"/>
      <c r="B2" s="15"/>
      <c r="C2" s="15"/>
      <c r="D2" s="16"/>
    </row>
    <row r="3" ht="16.5" spans="1:4">
      <c r="A3" s="17" t="s">
        <v>302</v>
      </c>
      <c r="B3" s="18"/>
      <c r="C3" s="18"/>
      <c r="D3" s="19"/>
    </row>
    <row r="4" ht="6" customHeight="1" spans="1:4">
      <c r="A4" s="14"/>
      <c r="B4" s="15"/>
      <c r="C4" s="15"/>
      <c r="D4" s="16"/>
    </row>
    <row r="5" ht="13.5" spans="1:4">
      <c r="A5" s="20" t="str">
        <f>'Planilha orç.'!A5</f>
        <v>OBRA: REFORMA E REVITALIZAÇÃO DA PISTA DE CAMINHADA E CICLOVIA</v>
      </c>
      <c r="B5" s="21"/>
      <c r="C5" s="21"/>
      <c r="D5" s="22"/>
    </row>
    <row r="6" ht="13.5" spans="1:4">
      <c r="A6" s="20" t="str">
        <f>'Planilha orç.'!A7</f>
        <v>LOCAL: AV. WILSON ALVARENGA - BELMONTE, JOÃO MONLEVADE - MG</v>
      </c>
      <c r="B6" s="21"/>
      <c r="C6" s="21"/>
      <c r="D6" s="22"/>
    </row>
    <row r="7" ht="6" customHeight="1" spans="1:4">
      <c r="A7" s="23"/>
      <c r="B7" s="24"/>
      <c r="C7" s="24"/>
      <c r="D7" s="25"/>
    </row>
    <row r="8" s="10" customFormat="1" ht="13.5" spans="1:4">
      <c r="A8" s="26" t="s">
        <v>303</v>
      </c>
      <c r="B8" s="27"/>
      <c r="C8" s="27"/>
      <c r="D8" s="28"/>
    </row>
    <row r="9" s="10" customFormat="1" ht="25.5" spans="1:4">
      <c r="A9" s="29" t="s">
        <v>304</v>
      </c>
      <c r="B9" s="30" t="s">
        <v>305</v>
      </c>
      <c r="C9" s="31" t="s">
        <v>306</v>
      </c>
      <c r="D9" s="32" t="s">
        <v>307</v>
      </c>
    </row>
    <row r="10" spans="1:4">
      <c r="A10" s="33" t="s">
        <v>308</v>
      </c>
      <c r="B10" s="34" t="s">
        <v>309</v>
      </c>
      <c r="C10" s="35">
        <v>1</v>
      </c>
      <c r="D10" s="36"/>
    </row>
    <row r="11" spans="1:4">
      <c r="A11" s="37" t="s">
        <v>310</v>
      </c>
      <c r="B11" s="34" t="s">
        <v>311</v>
      </c>
      <c r="C11" s="35">
        <v>0.055</v>
      </c>
      <c r="D11" s="36" t="s">
        <v>309</v>
      </c>
    </row>
    <row r="12" spans="1:4">
      <c r="A12" s="37" t="s">
        <v>312</v>
      </c>
      <c r="B12" s="34" t="s">
        <v>313</v>
      </c>
      <c r="C12" s="35">
        <v>0.075</v>
      </c>
      <c r="D12" s="36" t="s">
        <v>309</v>
      </c>
    </row>
    <row r="13" spans="1:4">
      <c r="A13" s="37" t="s">
        <v>314</v>
      </c>
      <c r="B13" s="34" t="s">
        <v>315</v>
      </c>
      <c r="C13" s="35">
        <v>0.0105</v>
      </c>
      <c r="D13" s="36" t="s">
        <v>309</v>
      </c>
    </row>
    <row r="14" spans="1:4">
      <c r="A14" s="37" t="s">
        <v>316</v>
      </c>
      <c r="B14" s="34" t="s">
        <v>317</v>
      </c>
      <c r="C14" s="35">
        <f>C15+C16</f>
        <v>0.0227</v>
      </c>
      <c r="D14" s="36" t="s">
        <v>309</v>
      </c>
    </row>
    <row r="15" spans="1:4">
      <c r="A15" s="38" t="s">
        <v>318</v>
      </c>
      <c r="B15" s="34" t="s">
        <v>319</v>
      </c>
      <c r="C15" s="39">
        <v>0.0127</v>
      </c>
      <c r="D15" s="40" t="s">
        <v>309</v>
      </c>
    </row>
    <row r="16" spans="1:4">
      <c r="A16" s="38" t="s">
        <v>320</v>
      </c>
      <c r="B16" s="34" t="s">
        <v>321</v>
      </c>
      <c r="C16" s="39">
        <v>0.01</v>
      </c>
      <c r="D16" s="40" t="s">
        <v>309</v>
      </c>
    </row>
    <row r="17" spans="1:4">
      <c r="A17" s="37" t="s">
        <v>322</v>
      </c>
      <c r="B17" s="34" t="s">
        <v>323</v>
      </c>
      <c r="C17" s="39">
        <v>0.0615</v>
      </c>
      <c r="D17" s="40" t="s">
        <v>324</v>
      </c>
    </row>
    <row r="18" spans="1:4">
      <c r="A18" s="38" t="s">
        <v>325</v>
      </c>
      <c r="B18" s="34" t="s">
        <v>325</v>
      </c>
      <c r="C18" s="35">
        <v>0.025</v>
      </c>
      <c r="D18" s="40" t="s">
        <v>324</v>
      </c>
    </row>
    <row r="19" spans="1:4">
      <c r="A19" s="38" t="s">
        <v>326</v>
      </c>
      <c r="B19" s="34" t="s">
        <v>326</v>
      </c>
      <c r="C19" s="39">
        <v>0.0065</v>
      </c>
      <c r="D19" s="40" t="s">
        <v>324</v>
      </c>
    </row>
    <row r="20" spans="1:4">
      <c r="A20" s="38" t="s">
        <v>327</v>
      </c>
      <c r="B20" s="34" t="s">
        <v>327</v>
      </c>
      <c r="C20" s="39">
        <v>0.03</v>
      </c>
      <c r="D20" s="40" t="s">
        <v>324</v>
      </c>
    </row>
    <row r="21" spans="1:4">
      <c r="A21" s="37" t="s">
        <v>328</v>
      </c>
      <c r="B21" s="34" t="s">
        <v>329</v>
      </c>
      <c r="C21" s="41"/>
      <c r="D21" s="40" t="s">
        <v>324</v>
      </c>
    </row>
    <row r="22" spans="1:4">
      <c r="A22" s="42" t="s">
        <v>330</v>
      </c>
      <c r="B22" s="43" t="s">
        <v>331</v>
      </c>
      <c r="C22" s="43"/>
      <c r="D22" s="44"/>
    </row>
    <row r="23" spans="1:4">
      <c r="A23" s="45"/>
      <c r="B23" s="46" t="s">
        <v>332</v>
      </c>
      <c r="C23" s="46"/>
      <c r="D23" s="47"/>
    </row>
    <row r="24" spans="1:4">
      <c r="A24" s="42" t="s">
        <v>333</v>
      </c>
      <c r="B24" s="48" t="s">
        <v>334</v>
      </c>
      <c r="C24" s="49">
        <f>(1+(C11+C14))*(1+C13)*(1+C12)-1</f>
        <v>0.1707</v>
      </c>
      <c r="D24" s="50">
        <f>((1+C24)/C25-1)</f>
        <v>0.2474</v>
      </c>
    </row>
    <row r="25" spans="1:4">
      <c r="A25" s="42"/>
      <c r="B25" s="48"/>
      <c r="C25" s="51">
        <f>(1-(C17+C21))</f>
        <v>0.9385</v>
      </c>
      <c r="D25" s="50"/>
    </row>
    <row r="26" spans="1:4">
      <c r="A26" s="52"/>
      <c r="B26" s="53"/>
      <c r="C26" s="54"/>
      <c r="D26" s="55"/>
    </row>
    <row r="27" ht="30" customHeight="1" spans="1:4">
      <c r="A27" s="56" t="s">
        <v>335</v>
      </c>
      <c r="B27" s="57"/>
      <c r="C27" s="57"/>
      <c r="D27" s="58"/>
    </row>
    <row r="28" ht="30" customHeight="1" spans="1:4">
      <c r="A28" s="59" t="s">
        <v>336</v>
      </c>
      <c r="B28" s="60"/>
      <c r="C28" s="60"/>
      <c r="D28" s="61"/>
    </row>
    <row r="29" ht="15" customHeight="1" spans="1:4">
      <c r="A29" s="59" t="s">
        <v>337</v>
      </c>
      <c r="B29" s="60"/>
      <c r="C29" s="60"/>
      <c r="D29" s="61"/>
    </row>
    <row r="30" ht="15" customHeight="1" spans="1:4">
      <c r="A30" s="59" t="s">
        <v>338</v>
      </c>
      <c r="B30" s="60"/>
      <c r="C30" s="60"/>
      <c r="D30" s="61"/>
    </row>
    <row r="31" ht="15" customHeight="1" spans="1:4">
      <c r="A31" s="59" t="s">
        <v>339</v>
      </c>
      <c r="B31" s="60"/>
      <c r="C31" s="60"/>
      <c r="D31" s="61"/>
    </row>
    <row r="32" ht="15" customHeight="1" spans="1:4">
      <c r="A32" s="59" t="s">
        <v>340</v>
      </c>
      <c r="B32" s="60"/>
      <c r="C32" s="60"/>
      <c r="D32" s="61"/>
    </row>
    <row r="33" spans="1:4">
      <c r="A33" s="59"/>
      <c r="B33" s="60"/>
      <c r="C33" s="60"/>
      <c r="D33" s="61"/>
    </row>
    <row r="34" ht="27.75" customHeight="1" spans="1:4">
      <c r="A34" s="62"/>
      <c r="C34" s="63"/>
      <c r="D34" s="64"/>
    </row>
    <row r="35" ht="13.5" spans="1:4">
      <c r="A35" s="65"/>
      <c r="B35" s="66"/>
      <c r="C35" s="63"/>
      <c r="D35" s="67" t="str">
        <f>'Planilha orç.'!G50</f>
        <v>295.809/D</v>
      </c>
    </row>
    <row r="36" ht="13.5" spans="1:4">
      <c r="A36" s="68" t="str">
        <f>'Planilha orç.'!B51</f>
        <v>Eng. Civil Lorena Realino Fraga</v>
      </c>
      <c r="B36" s="69"/>
      <c r="C36" s="63"/>
      <c r="D36" s="70" t="str">
        <f>'Planilha orç.'!G51</f>
        <v>CREA MG</v>
      </c>
    </row>
    <row r="37" spans="1:4">
      <c r="A37" s="71"/>
      <c r="B37" s="72"/>
      <c r="C37" s="72"/>
      <c r="D37" s="73"/>
    </row>
  </sheetData>
  <mergeCells count="22">
    <mergeCell ref="A1:D1"/>
    <mergeCell ref="A2:D2"/>
    <mergeCell ref="A3:D3"/>
    <mergeCell ref="A4:D4"/>
    <mergeCell ref="A5:D5"/>
    <mergeCell ref="A6:D6"/>
    <mergeCell ref="A7:D7"/>
    <mergeCell ref="A8:D8"/>
    <mergeCell ref="B22:D22"/>
    <mergeCell ref="B23:D23"/>
    <mergeCell ref="A27:D27"/>
    <mergeCell ref="A28:D28"/>
    <mergeCell ref="A29:D29"/>
    <mergeCell ref="A30:D30"/>
    <mergeCell ref="A31:D31"/>
    <mergeCell ref="A32:D32"/>
    <mergeCell ref="A35:B35"/>
    <mergeCell ref="A36:B36"/>
    <mergeCell ref="A22:A23"/>
    <mergeCell ref="A24:A25"/>
    <mergeCell ref="B24:B25"/>
    <mergeCell ref="D24:D25"/>
  </mergeCells>
  <conditionalFormatting sqref="B24">
    <cfRule type="cellIs" dxfId="1" priority="1" stopIfTrue="1" operator="equal">
      <formula>"ERRO"</formula>
    </cfRule>
  </conditionalFormatting>
  <conditionalFormatting sqref="B13:B14">
    <cfRule type="cellIs" dxfId="2" priority="2" stopIfTrue="1" operator="equal">
      <formula>0</formula>
    </cfRule>
    <cfRule type="cellIs" dxfId="3" priority="3" stopIfTrue="1" operator="equal">
      <formula>"FORA DO LIMITE !"</formula>
    </cfRule>
  </conditionalFormatting>
  <conditionalFormatting sqref="D9;B25;B28">
    <cfRule type="cellIs" dxfId="2" priority="4" stopIfTrue="1" operator="equal">
      <formula>0</formula>
    </cfRule>
  </conditionalFormatting>
  <dataValidations count="2">
    <dataValidation type="decimal" operator="between" allowBlank="1" showInputMessage="1" showErrorMessage="1" sqref="D8">
      <formula1>6.64</formula1>
      <formula2>8.69</formula2>
    </dataValidation>
    <dataValidation type="decimal" operator="between" allowBlank="1" showInputMessage="1" showErrorMessage="1" sqref="D6:D7">
      <formula1>3.8</formula1>
      <formula2>4.67</formula2>
    </dataValidation>
  </dataValidations>
  <pageMargins left="0.708661417322835" right="0.708661417322835" top="0.748031496062992" bottom="0.748031496062992" header="0.31496062992126" footer="0.31496062992126"/>
  <pageSetup paperSize="9" fitToHeight="0" orientation="portrait" horizontalDpi="300" verticalDpi="300"/>
  <headerFooter/>
  <colBreaks count="1" manualBreakCount="1">
    <brk id="4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2.75"/>
  <sheetData/>
  <pageMargins left="0.511811024" right="0.511811024" top="0.787401575" bottom="0.787401575" header="0.31496062" footer="0.31496062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9:N72"/>
  <sheetViews>
    <sheetView workbookViewId="0">
      <selection activeCell="C86" sqref="C86"/>
    </sheetView>
  </sheetViews>
  <sheetFormatPr defaultColWidth="9.14285714285714" defaultRowHeight="12.75"/>
  <cols>
    <col min="1" max="16384" width="9.14285714285714" style="7"/>
  </cols>
  <sheetData>
    <row r="39" spans="1:14">
      <c r="A39" s="7" t="s">
        <v>341</v>
      </c>
    </row>
    <row r="42" spans="1:14">
      <c r="N42" s="7" t="s">
        <v>342</v>
      </c>
    </row>
    <row r="46" spans="1:14">
      <c r="A46" s="8">
        <v>1</v>
      </c>
      <c r="B46" s="8">
        <v>2</v>
      </c>
      <c r="C46" s="8">
        <v>3</v>
      </c>
      <c r="D46" s="8" t="s">
        <v>343</v>
      </c>
    </row>
    <row r="47" spans="1:14">
      <c r="A47" s="8">
        <v>7.2</v>
      </c>
      <c r="B47" s="8">
        <v>16.05</v>
      </c>
      <c r="C47" s="8">
        <v>9.98</v>
      </c>
      <c r="D47" s="8">
        <v>11.07</v>
      </c>
      <c r="E47" s="9"/>
      <c r="F47" s="9"/>
      <c r="G47" s="9"/>
      <c r="H47" s="9"/>
      <c r="I47" s="9"/>
      <c r="J47" s="9"/>
      <c r="K47" s="9"/>
      <c r="L47" s="9"/>
    </row>
    <row r="72" spans="14:14">
      <c r="N72" s="7" t="s">
        <v>344</v>
      </c>
    </row>
  </sheetData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opLeftCell="A25" workbookViewId="0">
      <selection activeCell="G38" sqref="G38"/>
    </sheetView>
  </sheetViews>
  <sheetFormatPr defaultColWidth="9" defaultRowHeight="12.75"/>
  <cols>
    <col min="1" max="1" width="5.42857142857143" customWidth="1"/>
    <col min="2" max="2" width="17.7142857142857" customWidth="1"/>
    <col min="3" max="3" width="13.5714285714286" customWidth="1"/>
    <col min="4" max="4" width="13.7142857142857" customWidth="1"/>
    <col min="9" max="9" width="23.7142857142857" customWidth="1"/>
    <col min="10" max="10" width="12.8571428571429" customWidth="1"/>
    <col min="11" max="11" width="15.7142857142857" customWidth="1"/>
  </cols>
  <sheetData>
    <row r="1" spans="1:11">
      <c r="A1" s="1" t="s">
        <v>116</v>
      </c>
      <c r="B1" s="1" t="s">
        <v>118</v>
      </c>
      <c r="C1" s="1" t="s">
        <v>33</v>
      </c>
      <c r="D1" s="1" t="s">
        <v>345</v>
      </c>
    </row>
    <row r="2" ht="25.5" spans="1:11">
      <c r="A2" s="2">
        <v>1</v>
      </c>
      <c r="B2" s="2" t="s">
        <v>346</v>
      </c>
      <c r="C2" s="2" t="s">
        <v>263</v>
      </c>
      <c r="D2" s="2">
        <v>15</v>
      </c>
    </row>
    <row r="3" ht="25.5" spans="1:11">
      <c r="A3" s="2">
        <v>2</v>
      </c>
      <c r="B3" s="2" t="s">
        <v>347</v>
      </c>
      <c r="C3" s="2" t="s">
        <v>226</v>
      </c>
      <c r="D3" s="2">
        <v>4</v>
      </c>
    </row>
    <row r="4" spans="1:11">
      <c r="A4" s="2">
        <v>3</v>
      </c>
      <c r="B4" s="2" t="s">
        <v>348</v>
      </c>
      <c r="C4" s="2" t="s">
        <v>226</v>
      </c>
      <c r="D4" s="2">
        <v>1</v>
      </c>
    </row>
    <row r="5" ht="25.5" spans="1:11">
      <c r="A5" s="2">
        <v>4</v>
      </c>
      <c r="B5" s="2" t="s">
        <v>349</v>
      </c>
      <c r="C5" s="2" t="s">
        <v>226</v>
      </c>
      <c r="D5" s="2">
        <v>2</v>
      </c>
    </row>
    <row r="6" ht="25.5" spans="1:11">
      <c r="A6" s="2">
        <v>5</v>
      </c>
      <c r="B6" s="2" t="s">
        <v>350</v>
      </c>
      <c r="C6" s="2" t="s">
        <v>226</v>
      </c>
      <c r="D6" s="2">
        <v>2</v>
      </c>
    </row>
    <row r="7" ht="25.5" spans="1:11">
      <c r="A7" s="2">
        <v>6</v>
      </c>
      <c r="B7" s="2" t="s">
        <v>266</v>
      </c>
      <c r="C7" s="2" t="s">
        <v>226</v>
      </c>
      <c r="D7" s="2">
        <v>1</v>
      </c>
    </row>
    <row r="8" ht="25.5" spans="1:11">
      <c r="A8" s="2">
        <v>7</v>
      </c>
      <c r="B8" s="2" t="s">
        <v>268</v>
      </c>
      <c r="C8" s="2" t="s">
        <v>226</v>
      </c>
      <c r="D8" s="2">
        <v>1</v>
      </c>
    </row>
    <row r="9" ht="25.5" spans="1:11">
      <c r="A9" s="2">
        <v>8</v>
      </c>
      <c r="B9" s="2" t="s">
        <v>351</v>
      </c>
      <c r="C9" s="2" t="s">
        <v>263</v>
      </c>
      <c r="D9" s="2">
        <v>6</v>
      </c>
    </row>
    <row r="10" ht="25.5" spans="1:11">
      <c r="A10" s="2">
        <v>9</v>
      </c>
      <c r="B10" s="2" t="s">
        <v>352</v>
      </c>
      <c r="C10" s="2" t="s">
        <v>226</v>
      </c>
      <c r="D10" s="2">
        <v>2</v>
      </c>
    </row>
    <row r="11" ht="25.5" spans="1:11">
      <c r="A11" s="2">
        <v>10</v>
      </c>
      <c r="B11" s="2" t="s">
        <v>353</v>
      </c>
      <c r="C11" s="2" t="s">
        <v>226</v>
      </c>
      <c r="D11" s="2">
        <v>1</v>
      </c>
    </row>
    <row r="12" ht="25.5" spans="1:11">
      <c r="A12" s="2">
        <v>11</v>
      </c>
      <c r="B12" s="2" t="s">
        <v>354</v>
      </c>
      <c r="C12" s="2" t="s">
        <v>226</v>
      </c>
      <c r="D12" s="2">
        <v>1</v>
      </c>
      <c r="H12" s="3" t="s">
        <v>116</v>
      </c>
      <c r="I12" s="3" t="s">
        <v>118</v>
      </c>
      <c r="J12" s="4" t="s">
        <v>33</v>
      </c>
      <c r="K12" s="4" t="s">
        <v>355</v>
      </c>
    </row>
    <row r="13" ht="25.5" spans="1:11">
      <c r="A13" s="2">
        <v>12</v>
      </c>
      <c r="B13" s="2" t="s">
        <v>356</v>
      </c>
      <c r="C13" s="2" t="s">
        <v>226</v>
      </c>
      <c r="D13" s="2">
        <v>1</v>
      </c>
      <c r="H13" s="5">
        <v>9</v>
      </c>
      <c r="I13" s="5" t="s">
        <v>357</v>
      </c>
      <c r="J13" s="6" t="s">
        <v>358</v>
      </c>
      <c r="K13" s="6">
        <v>1</v>
      </c>
    </row>
    <row r="14" spans="1:11">
      <c r="H14" s="5">
        <v>10</v>
      </c>
      <c r="I14" s="5" t="s">
        <v>359</v>
      </c>
      <c r="J14" s="6" t="s">
        <v>232</v>
      </c>
      <c r="K14" s="6">
        <v>0.02</v>
      </c>
    </row>
    <row r="15" spans="1:11">
      <c r="A15" s="1" t="s">
        <v>116</v>
      </c>
      <c r="B15" s="1" t="s">
        <v>118</v>
      </c>
      <c r="C15" s="1" t="s">
        <v>33</v>
      </c>
      <c r="D15" s="1" t="s">
        <v>360</v>
      </c>
      <c r="H15" s="5">
        <v>11</v>
      </c>
      <c r="I15" s="5" t="s">
        <v>361</v>
      </c>
      <c r="J15" s="6" t="s">
        <v>362</v>
      </c>
      <c r="K15" s="6">
        <v>1</v>
      </c>
    </row>
    <row r="16" ht="51" spans="1:11">
      <c r="A16" s="2">
        <v>1</v>
      </c>
      <c r="B16" s="2" t="s">
        <v>363</v>
      </c>
      <c r="C16" s="2" t="s">
        <v>33</v>
      </c>
      <c r="D16" s="2">
        <v>1</v>
      </c>
      <c r="H16" s="5">
        <v>12</v>
      </c>
      <c r="I16" s="5" t="s">
        <v>364</v>
      </c>
      <c r="J16" s="6" t="s">
        <v>243</v>
      </c>
      <c r="K16" s="6">
        <v>0.02</v>
      </c>
    </row>
    <row r="17" ht="25.5" spans="1:11">
      <c r="A17" s="2">
        <v>2</v>
      </c>
      <c r="B17" s="2" t="s">
        <v>162</v>
      </c>
      <c r="C17" s="2" t="s">
        <v>232</v>
      </c>
      <c r="D17" s="2">
        <v>0.032</v>
      </c>
      <c r="H17" s="5">
        <v>13</v>
      </c>
      <c r="I17" s="5" t="s">
        <v>245</v>
      </c>
      <c r="J17" s="6" t="s">
        <v>243</v>
      </c>
      <c r="K17" s="6">
        <v>0.02</v>
      </c>
    </row>
    <row r="18" ht="25.5" spans="1:11">
      <c r="A18" s="2">
        <v>3</v>
      </c>
      <c r="B18" s="2" t="s">
        <v>164</v>
      </c>
      <c r="C18" s="2" t="s">
        <v>232</v>
      </c>
      <c r="D18" s="2">
        <v>0.005</v>
      </c>
    </row>
    <row r="19" ht="51" spans="1:11">
      <c r="A19" s="2">
        <v>4</v>
      </c>
      <c r="B19" s="2" t="s">
        <v>166</v>
      </c>
      <c r="C19" s="2" t="s">
        <v>33</v>
      </c>
      <c r="D19" s="2">
        <v>4</v>
      </c>
      <c r="H19" s="3" t="s">
        <v>116</v>
      </c>
      <c r="I19" s="3" t="s">
        <v>118</v>
      </c>
      <c r="J19" s="4" t="s">
        <v>33</v>
      </c>
      <c r="K19" s="4" t="s">
        <v>355</v>
      </c>
    </row>
    <row r="20" ht="38.25" spans="1:11">
      <c r="A20" s="2">
        <v>5</v>
      </c>
      <c r="B20" s="2" t="s">
        <v>365</v>
      </c>
      <c r="C20" s="2" t="s">
        <v>232</v>
      </c>
      <c r="D20" s="2">
        <v>0.003</v>
      </c>
      <c r="H20" s="5">
        <v>14</v>
      </c>
      <c r="I20" s="5" t="s">
        <v>366</v>
      </c>
      <c r="J20" s="6" t="s">
        <v>33</v>
      </c>
      <c r="K20" s="6">
        <v>20</v>
      </c>
    </row>
    <row r="21" spans="1:11">
      <c r="A21" s="5">
        <v>6</v>
      </c>
      <c r="B21" s="2" t="s">
        <v>242</v>
      </c>
      <c r="C21" s="2" t="s">
        <v>208</v>
      </c>
      <c r="D21" s="2">
        <v>1</v>
      </c>
      <c r="H21" s="5">
        <v>15</v>
      </c>
      <c r="I21" s="5" t="s">
        <v>367</v>
      </c>
      <c r="J21" s="6" t="s">
        <v>358</v>
      </c>
      <c r="K21" s="6">
        <v>1</v>
      </c>
    </row>
    <row r="22" spans="1:11">
      <c r="A22" s="2">
        <v>7</v>
      </c>
      <c r="B22" s="2" t="s">
        <v>245</v>
      </c>
      <c r="C22" s="2" t="s">
        <v>208</v>
      </c>
      <c r="D22" s="2">
        <v>2</v>
      </c>
      <c r="H22" s="5">
        <v>16</v>
      </c>
      <c r="I22" s="5" t="s">
        <v>364</v>
      </c>
      <c r="J22" s="6" t="s">
        <v>243</v>
      </c>
      <c r="K22" s="6">
        <v>0.03</v>
      </c>
    </row>
    <row r="23" ht="25.5" spans="1:11">
      <c r="A23" s="2">
        <v>8</v>
      </c>
      <c r="B23" s="2" t="s">
        <v>170</v>
      </c>
      <c r="C23" s="2" t="s">
        <v>232</v>
      </c>
      <c r="D23" s="2">
        <v>0.032</v>
      </c>
      <c r="H23" s="5">
        <v>17</v>
      </c>
      <c r="I23" s="5" t="s">
        <v>245</v>
      </c>
      <c r="J23" s="6" t="s">
        <v>243</v>
      </c>
      <c r="K23" s="6">
        <v>0.02</v>
      </c>
    </row>
    <row r="24" ht="25.5" spans="1:11">
      <c r="A24" s="2">
        <v>9</v>
      </c>
      <c r="B24" s="2" t="s">
        <v>171</v>
      </c>
      <c r="C24" s="2" t="s">
        <v>232</v>
      </c>
      <c r="D24" s="2">
        <v>0.01</v>
      </c>
    </row>
    <row r="26" spans="1:11">
      <c r="A26" s="3" t="s">
        <v>116</v>
      </c>
      <c r="B26" s="3" t="s">
        <v>118</v>
      </c>
      <c r="C26" s="3" t="s">
        <v>33</v>
      </c>
      <c r="D26" s="3" t="s">
        <v>355</v>
      </c>
    </row>
    <row r="27" ht="25.5" spans="1:11">
      <c r="A27" s="5">
        <v>4</v>
      </c>
      <c r="B27" s="5" t="s">
        <v>368</v>
      </c>
      <c r="C27" s="5" t="s">
        <v>232</v>
      </c>
      <c r="D27" s="5">
        <v>0.11</v>
      </c>
    </row>
    <row r="28" spans="1:11">
      <c r="A28" s="5">
        <v>5</v>
      </c>
      <c r="B28" s="5" t="s">
        <v>236</v>
      </c>
      <c r="C28" s="5" t="s">
        <v>232</v>
      </c>
      <c r="D28" s="5">
        <v>0.02</v>
      </c>
    </row>
    <row r="29" ht="25.5" spans="1:11">
      <c r="A29" s="5">
        <v>6</v>
      </c>
      <c r="B29" s="5" t="s">
        <v>369</v>
      </c>
      <c r="C29" s="5" t="s">
        <v>232</v>
      </c>
      <c r="D29" s="5">
        <v>0.11</v>
      </c>
    </row>
    <row r="30" ht="25.5" spans="1:11">
      <c r="A30" s="5">
        <v>7</v>
      </c>
      <c r="B30" s="5" t="s">
        <v>370</v>
      </c>
      <c r="C30" s="5" t="s">
        <v>33</v>
      </c>
      <c r="D30" s="5">
        <v>8</v>
      </c>
    </row>
    <row r="31" spans="1:11">
      <c r="A31" s="5">
        <v>8</v>
      </c>
      <c r="B31" s="5" t="s">
        <v>242</v>
      </c>
      <c r="C31" s="5" t="s">
        <v>208</v>
      </c>
      <c r="D31" s="5">
        <v>3</v>
      </c>
    </row>
    <row r="32" spans="1:11">
      <c r="A32" s="5">
        <v>9</v>
      </c>
      <c r="B32" s="5" t="s">
        <v>245</v>
      </c>
      <c r="C32" s="5" t="s">
        <v>208</v>
      </c>
      <c r="D32" s="5">
        <v>4</v>
      </c>
    </row>
    <row r="34" spans="1:4">
      <c r="A34" s="3" t="s">
        <v>116</v>
      </c>
      <c r="B34" s="3" t="s">
        <v>118</v>
      </c>
      <c r="C34" s="3" t="s">
        <v>33</v>
      </c>
      <c r="D34" s="3" t="s">
        <v>355</v>
      </c>
    </row>
    <row r="35" ht="38.25" spans="1:4">
      <c r="A35" s="5">
        <v>10</v>
      </c>
      <c r="B35" s="5" t="s">
        <v>371</v>
      </c>
      <c r="C35" s="5" t="s">
        <v>358</v>
      </c>
      <c r="D35" s="5">
        <v>3</v>
      </c>
    </row>
    <row r="36" spans="1:4">
      <c r="A36" s="5">
        <v>11</v>
      </c>
      <c r="B36" s="5" t="s">
        <v>236</v>
      </c>
      <c r="C36" s="5" t="s">
        <v>232</v>
      </c>
      <c r="D36" s="5">
        <v>0.03</v>
      </c>
    </row>
    <row r="37" ht="25.5" spans="1:4">
      <c r="A37" s="5">
        <v>12</v>
      </c>
      <c r="B37" s="5" t="s">
        <v>372</v>
      </c>
      <c r="C37" s="5" t="s">
        <v>232</v>
      </c>
      <c r="D37" s="5">
        <v>0.15</v>
      </c>
    </row>
    <row r="38" ht="25.5" spans="1:4">
      <c r="A38" s="5">
        <v>13</v>
      </c>
      <c r="B38" s="5" t="s">
        <v>373</v>
      </c>
      <c r="C38" s="5" t="s">
        <v>358</v>
      </c>
      <c r="D38" s="5">
        <v>3</v>
      </c>
    </row>
    <row r="39" spans="1:4">
      <c r="A39" s="5">
        <v>14</v>
      </c>
      <c r="B39" s="5" t="s">
        <v>242</v>
      </c>
      <c r="C39" s="5" t="s">
        <v>208</v>
      </c>
      <c r="D39" s="5">
        <v>3</v>
      </c>
    </row>
    <row r="40" spans="1:4">
      <c r="A40" s="5">
        <v>15</v>
      </c>
      <c r="B40" s="5" t="s">
        <v>245</v>
      </c>
      <c r="C40" s="5" t="s">
        <v>208</v>
      </c>
      <c r="D40" s="5">
        <v>3</v>
      </c>
    </row>
  </sheetData>
  <pageMargins left="0.511811024" right="0.511811024" top="0.787401575" bottom="0.787401575" header="0.31496062" footer="0.3149606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Setop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Planilha orç.</vt:lpstr>
      <vt:lpstr>Memória de Cálculo</vt:lpstr>
      <vt:lpstr>Cronograma</vt:lpstr>
      <vt:lpstr>Composição</vt:lpstr>
      <vt:lpstr>BDI</vt:lpstr>
      <vt:lpstr>Planilha1</vt:lpstr>
      <vt:lpstr>Cotações</vt:lpstr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Setop</dc:creator>
  <cp:lastModifiedBy>PMJM</cp:lastModifiedBy>
  <dcterms:created xsi:type="dcterms:W3CDTF">2006-09-22T13:55:00Z</dcterms:created>
  <cp:lastPrinted>2025-11-24T13:05:00Z</cp:lastPrinted>
  <dcterms:modified xsi:type="dcterms:W3CDTF">2026-04-24T18:44:08Z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F28DBE981CB24F8B837F09422E13E963_12</vt:lpwstr>
  </property>
  <property fmtid="{D5CDD505-2E9C-101B-9397-08002B2CF9AE}" pid="3" name="KSOProductBuildVer">
    <vt:lpwstr>1046-12.1.0.25862</vt:lpwstr>
  </property>
  <property fmtid="{D5CDD505-2E9C-101B-9397-08002B2CF9AE}" pid="4" name="CalculationRule">
    <vt:i4>0</vt:i4>
  </property>
</Properties>
</file>