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32760" yWindow="32760" windowWidth="10245" windowHeight="7275" tabRatio="865"/>
  </bookViews>
  <sheets>
    <sheet name="Planilha de Orcamento" sheetId="12" r:id="rId1"/>
    <sheet name="BDI (Material)" sheetId="16" state="hidden" r:id="rId2"/>
    <sheet name="Plan1" sheetId="15" state="hidden" r:id="rId3"/>
  </sheets>
  <definedNames>
    <definedName name="_xlnm._FilterDatabase" localSheetId="0" hidden="1">'Planilha de Orcamento'!$B$11:$B$93</definedName>
    <definedName name="_xlnm.Print_Area" localSheetId="1">'BDI (Material)'!$A$1:$D$35</definedName>
    <definedName name="_xlnm.Print_Area" localSheetId="0">'Planilha de Orcamento'!$A$1:$I$101</definedName>
    <definedName name="_xlnm.Print_Titles" localSheetId="0">'Planilha de Orcamento'!$10:$10</definedName>
  </definedNames>
  <calcPr calcId="124519" fullPrecision="0"/>
</workbook>
</file>

<file path=xl/calcChain.xml><?xml version="1.0" encoding="utf-8"?>
<calcChain xmlns="http://schemas.openxmlformats.org/spreadsheetml/2006/main">
  <c r="A59" i="15"/>
  <c r="B59"/>
  <c r="F59"/>
  <c r="B60"/>
  <c r="C60"/>
  <c r="F60"/>
  <c r="B61"/>
  <c r="C61"/>
  <c r="F61"/>
  <c r="I61"/>
  <c r="B62"/>
  <c r="C62"/>
  <c r="B63"/>
  <c r="C63"/>
  <c r="C64"/>
  <c r="F64"/>
  <c r="B65"/>
  <c r="C65"/>
  <c r="F65"/>
  <c r="F66"/>
  <c r="B67"/>
  <c r="K70"/>
  <c r="A1" i="16"/>
  <c r="A4"/>
  <c r="A5"/>
  <c r="C23"/>
  <c r="C24"/>
  <c r="D23" s="1"/>
  <c r="H60" i="12"/>
  <c r="I60" s="1"/>
  <c r="I56" s="1"/>
  <c r="H71"/>
  <c r="I71" s="1"/>
  <c r="H92"/>
  <c r="I92" s="1"/>
  <c r="H58"/>
  <c r="H53"/>
  <c r="I53"/>
  <c r="H79"/>
  <c r="I79"/>
  <c r="H65"/>
  <c r="I65"/>
  <c r="H66"/>
  <c r="H45"/>
  <c r="H90"/>
  <c r="I90"/>
  <c r="H69"/>
  <c r="H26"/>
  <c r="H59"/>
  <c r="I59"/>
  <c r="H21"/>
  <c r="I21"/>
  <c r="H19"/>
  <c r="I19"/>
  <c r="H91"/>
  <c r="I91"/>
  <c r="H81"/>
  <c r="I81"/>
  <c r="H39"/>
  <c r="H83"/>
  <c r="I83" s="1"/>
  <c r="H72"/>
  <c r="I72" s="1"/>
  <c r="H64"/>
  <c r="I64" s="1"/>
  <c r="H78"/>
  <c r="H20"/>
  <c r="I20"/>
  <c r="H52"/>
  <c r="H25"/>
  <c r="H35"/>
  <c r="I35"/>
  <c r="H29"/>
  <c r="H63"/>
  <c r="I63" s="1"/>
  <c r="H41"/>
  <c r="I41" s="1"/>
  <c r="H89"/>
  <c r="H40"/>
  <c r="H42"/>
  <c r="I42" s="1"/>
  <c r="H80"/>
  <c r="I80" s="1"/>
  <c r="H84"/>
  <c r="I84" s="1"/>
  <c r="H15"/>
  <c r="I15" s="1"/>
  <c r="I14" s="1"/>
  <c r="H57"/>
  <c r="I57"/>
  <c r="H33"/>
  <c r="I33"/>
  <c r="I32" s="1"/>
  <c r="H27"/>
  <c r="H54"/>
  <c r="I54"/>
  <c r="H75"/>
  <c r="I75" s="1"/>
  <c r="I74" s="1"/>
  <c r="H76"/>
  <c r="I76"/>
  <c r="H50"/>
  <c r="I50" s="1"/>
  <c r="H34"/>
  <c r="I34"/>
  <c r="H88"/>
  <c r="I88" s="1"/>
  <c r="I86" s="1"/>
  <c r="H44"/>
  <c r="I44"/>
  <c r="H87"/>
  <c r="H18"/>
  <c r="I18" s="1"/>
  <c r="I17" s="1"/>
  <c r="H82"/>
  <c r="I82" s="1"/>
  <c r="H30"/>
  <c r="H28"/>
  <c r="H38"/>
  <c r="I38" s="1"/>
  <c r="H70"/>
  <c r="I70" s="1"/>
  <c r="I68" s="1"/>
  <c r="H49"/>
  <c r="I49" s="1"/>
  <c r="I48" s="1"/>
  <c r="H77"/>
  <c r="I77" s="1"/>
  <c r="H43"/>
  <c r="I43" s="1"/>
  <c r="H51"/>
  <c r="I58"/>
  <c r="I40"/>
  <c r="I66"/>
  <c r="I69"/>
  <c r="I78"/>
  <c r="I39"/>
  <c r="I89"/>
  <c r="I87"/>
  <c r="I29"/>
  <c r="I28"/>
  <c r="I51"/>
  <c r="I52"/>
  <c r="I30"/>
  <c r="I45"/>
  <c r="I26"/>
  <c r="I25"/>
  <c r="I27"/>
  <c r="I24" s="1"/>
  <c r="I23" l="1"/>
  <c r="I62"/>
  <c r="I47" s="1"/>
  <c r="H12" s="1"/>
  <c r="I37"/>
  <c r="I12" l="1"/>
  <c r="I11" s="1"/>
  <c r="I94" s="1"/>
  <c r="G12"/>
</calcChain>
</file>

<file path=xl/sharedStrings.xml><?xml version="1.0" encoding="utf-8"?>
<sst xmlns="http://schemas.openxmlformats.org/spreadsheetml/2006/main" count="369" uniqueCount="245">
  <si>
    <t>ITEM</t>
  </si>
  <si>
    <t>DESCRIÇÃO</t>
  </si>
  <si>
    <t>CÓDIGO</t>
  </si>
  <si>
    <t>PREÇO TOTAL</t>
  </si>
  <si>
    <t>1.1</t>
  </si>
  <si>
    <t>2.1</t>
  </si>
  <si>
    <t>M²</t>
  </si>
  <si>
    <t>M³</t>
  </si>
  <si>
    <t>4.1</t>
  </si>
  <si>
    <t>QUANT.</t>
  </si>
  <si>
    <t>AC</t>
  </si>
  <si>
    <t>R</t>
  </si>
  <si>
    <t>DF</t>
  </si>
  <si>
    <t>L</t>
  </si>
  <si>
    <t>TRIBUTOS</t>
  </si>
  <si>
    <t>ISS</t>
  </si>
  <si>
    <t>DISCRIMINAÇÃO DAS PARCELAS</t>
  </si>
  <si>
    <t>SIGLA</t>
  </si>
  <si>
    <t>PERCENTUAL DE INCIDÊNCIA</t>
  </si>
  <si>
    <t>INCIDÊNCIA</t>
  </si>
  <si>
    <t>CUSTO DIRETO</t>
  </si>
  <si>
    <t>CD</t>
  </si>
  <si>
    <t>ADMINISTRAÇÃO CENTRAL</t>
  </si>
  <si>
    <t>LUCRO</t>
  </si>
  <si>
    <t>DESPESAS FINANCEIRAS</t>
  </si>
  <si>
    <t>SEGUROS, GARANTIAS E RISCO</t>
  </si>
  <si>
    <t>(S + R)</t>
  </si>
  <si>
    <t>SEGUROS + GARANTIAS</t>
  </si>
  <si>
    <t>S</t>
  </si>
  <si>
    <t>RISCO</t>
  </si>
  <si>
    <t>I</t>
  </si>
  <si>
    <t>PV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</si>
  <si>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</si>
  <si>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</si>
  <si>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</si>
  <si>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</si>
  <si>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</si>
  <si>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</si>
  <si>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</si>
  <si>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CÁLCULO DO BDI</t>
  </si>
  <si>
    <t>BDI      =</t>
  </si>
  <si>
    <t>ADMINISTRAÇÃO LOCAL</t>
  </si>
  <si>
    <t xml:space="preserve">MOBILIZAÇÃO E DESMOBILIZAÇÃO DE OBRA </t>
  </si>
  <si>
    <t>MOBILIZAÇÃO E DESMOBILIZAÇÃO DE OBRA EM CENTRO URBANO OU REGIÃO LIMÍTROFE COM VALOR ATÉ O VALOR DE 1.000.000,00</t>
  </si>
  <si>
    <t>MÊS</t>
  </si>
  <si>
    <t>PLANILHA ORÇAMENTÁRIA DE CUSTOS</t>
  </si>
  <si>
    <t xml:space="preserve">FORMA DE EXECUÇÃO: </t>
  </si>
  <si>
    <t>(    )</t>
  </si>
  <si>
    <t>DIRETA</t>
  </si>
  <si>
    <t>(  X  )</t>
  </si>
  <si>
    <t>INDIRETA</t>
  </si>
  <si>
    <t>ISS =</t>
  </si>
  <si>
    <t>BDI=</t>
  </si>
  <si>
    <t>.</t>
  </si>
  <si>
    <t>3.1</t>
  </si>
  <si>
    <t>DATA:</t>
  </si>
  <si>
    <r>
      <rPr>
        <b/>
        <sz val="8"/>
        <rFont val="Arial Narrow"/>
        <family val="2"/>
      </rPr>
      <t>AC | Administração Central</t>
    </r>
    <r>
      <rPr>
        <sz val="8"/>
        <rFont val="Arial Narrow"/>
        <family val="2"/>
      </rPr>
      <t xml:space="preserve"> - Percentual incluído no contrato para suprir gastos gerais que a empresa efetua com a sua administração, tais como: aluguel da sede, salários dos funcionários da sede, material de expediente, entre outros.</t>
    </r>
  </si>
  <si>
    <r>
      <rPr>
        <b/>
        <sz val="8"/>
        <rFont val="Arial Narrow"/>
        <family val="2"/>
      </rPr>
      <t>DF | Despesas Financeiras</t>
    </r>
    <r>
      <rPr>
        <sz val="8"/>
        <rFont val="Arial Narrow"/>
        <family val="2"/>
      </rPr>
      <t xml:space="preserve"> - Despesas financeiras são gastos relacionados à perda monetária decorrente da defasagem entre a data do efetivo desembolso e a data da receita correspondente.</t>
    </r>
  </si>
  <si>
    <r>
      <rPr>
        <b/>
        <sz val="8"/>
        <rFont val="Arial Narrow"/>
        <family val="2"/>
      </rPr>
      <t>R | Garantias, Riscos, Seguros e Imprevistos</t>
    </r>
    <r>
      <rPr>
        <sz val="8"/>
        <rFont val="Arial Narrow"/>
        <family val="2"/>
      </rPr>
      <t xml:space="preserve"> - Percentual incluído no contrato para suprir gastos com imprevistos, riscos etc.</t>
    </r>
  </si>
  <si>
    <r>
      <rPr>
        <b/>
        <sz val="8"/>
        <rFont val="Arial Narrow"/>
        <family val="2"/>
      </rPr>
      <t>L | Lucro</t>
    </r>
    <r>
      <rPr>
        <sz val="8"/>
        <rFont val="Arial Narrow"/>
        <family val="2"/>
      </rPr>
      <t xml:space="preserve"> - Percentual incluído no contrato referente ao lucro pretendido.</t>
    </r>
  </si>
  <si>
    <r>
      <rPr>
        <b/>
        <sz val="8"/>
        <rFont val="Arial Narrow"/>
        <family val="2"/>
      </rPr>
      <t>T | Tributos</t>
    </r>
    <r>
      <rPr>
        <sz val="8"/>
        <rFont val="Arial Narrow"/>
        <family val="2"/>
      </rPr>
      <t xml:space="preserve"> - Somatório do COFINS, PIS, ISS e INSS</t>
    </r>
  </si>
  <si>
    <t>M3</t>
  </si>
  <si>
    <t>4.2</t>
  </si>
  <si>
    <t>DEMONSTRATIVO DE BDI - SEM DESONERAÇÃO - OBRA RODOVIÁRIA</t>
  </si>
  <si>
    <t>CPU-001</t>
  </si>
  <si>
    <t>CREA-MG</t>
  </si>
  <si>
    <t>ENG. CIVIL JOÃO PAULO SILVA RODRIGUES</t>
  </si>
  <si>
    <t>204.411/D</t>
  </si>
  <si>
    <t>INCIDÊNCIA DE ISS EM 70% DO PREÇO DE VENDA, COM PERCENTUAIS DE 2%, 3%, 4% E 5%</t>
  </si>
  <si>
    <t>BDI MATERIAL (CONFORME ACÓRDÃO Nº 2622/13 e LEI Nº 13.161 DE 31/08/15)</t>
  </si>
  <si>
    <t xml:space="preserve">UN </t>
  </si>
  <si>
    <t>4.3</t>
  </si>
  <si>
    <t>M³xKM</t>
  </si>
  <si>
    <t>M</t>
  </si>
  <si>
    <t>COMPOSIÇÃO</t>
  </si>
  <si>
    <t>CPU-002</t>
  </si>
  <si>
    <t>ED-50392</t>
  </si>
  <si>
    <t>CPU-003</t>
  </si>
  <si>
    <t>5.1</t>
  </si>
  <si>
    <t>4.1.1</t>
  </si>
  <si>
    <t>4.1.2</t>
  </si>
  <si>
    <t>4.1.3</t>
  </si>
  <si>
    <t>4.1.4</t>
  </si>
  <si>
    <t>4.1.5</t>
  </si>
  <si>
    <t>4.2.1</t>
  </si>
  <si>
    <t>4.2.3</t>
  </si>
  <si>
    <t>4.3.3</t>
  </si>
  <si>
    <t>4.3.4</t>
  </si>
  <si>
    <t>5.2</t>
  </si>
  <si>
    <t>CREA MG</t>
  </si>
  <si>
    <t>CPU-007</t>
  </si>
  <si>
    <t>CPU-008</t>
  </si>
  <si>
    <t>CPU-009</t>
  </si>
  <si>
    <t>ED-16350</t>
  </si>
  <si>
    <t>ED-50137</t>
  </si>
  <si>
    <t xml:space="preserve">LOCAÇÃO DE CONTAINER COM ISOLAMENTO TÉRMICO, TIPO 3, PARA DEPÓSITO/FERRAMENTARIA DE OBRA, COM MEDIDAS REFERENCIAIS DE (6) METROS COMPRIMENTO, (2,3) METROS LARGURA E (2,5) METROS ALTURA ÚTIL INTERNA, INCLUSIVE LIGAÇÕES ELÉTRICAS INTERNAS, EXCLUSIVE MOBILIZAÇÃO/ DESMOBILIZAÇÃO E LIGAÇÕES PROVISÓRIAS EXTERNAS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</si>
  <si>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</t>
  </si>
  <si>
    <t>6.2</t>
  </si>
  <si>
    <t>6.3</t>
  </si>
  <si>
    <t>ESCAVAÇÃO MANUAL DE VALA COM PROFUNDIDADE MENOR OU IGUAL A 1,5M, INCLUSIVE DESCARGA LATERAL</t>
  </si>
  <si>
    <t>ED-51107</t>
  </si>
  <si>
    <t>ED-51121</t>
  </si>
  <si>
    <t>SICOR-MG</t>
  </si>
  <si>
    <t>REATERRO MANUAL DE VALA, INCLUSIVE ESPALHAMENTO E COMPACTAÇÃO MECANIZADA COM PLACA VIBRATÓRIA (VALA DO ELETRODUTO)</t>
  </si>
  <si>
    <t>ED-49197</t>
  </si>
  <si>
    <t>CAIXA DE INSPEÇÃO EM CONCRETO, TIPO "ZA" PASSEIO, PADRÃO CEMIG, DIMENSÃO (28X28)CM, ALTURA 40CM, COM TAMPA E ARO ARTICULADO EM FERRO FUNDIDO, INCLUSIVE ESCAVAÇÃO, APILOAMENTO, LASTRO DE BRITA, REATERRO E TRANSPORTE E RETIRADA DO MATERIAL ESCAVADO (EM CAÇAMBA</t>
  </si>
  <si>
    <t>MOVIMENTAÇÕES DE TERRA, CONTENÇÕES, DEMOLIÇÕES, DRENAGEM E PASSEIO</t>
  </si>
  <si>
    <t>DUTO CORRUGADO EM PEAD (POLIETILENO DE ALTA DENSIDADE), PARA PROTEÇÃO DE CABOS SUBTERRÂNEOS DN 50 MM (DIÂMETRO INTERNO = 2")</t>
  </si>
  <si>
    <t>CABO DE ALUMÍNIO (4X25MM² - PRETO/ CINZA/ VERMELHO / AZUL OU VERDE) PARA REDE ENTERRADA DE DISTRIBUIÇÃO DE ENERGIA ELÉTRICA - FORNECIMENTO E INSTALAÇÃO.</t>
  </si>
  <si>
    <t>6.4</t>
  </si>
  <si>
    <t>PREÇO UNITÁRIO S/ BDI</t>
  </si>
  <si>
    <t>PREÇO UNITÁRIO C/ BDI</t>
  </si>
  <si>
    <t>MOBILIZAÇÃO E DESMOBILIZAÇÃO DE CONTAINER, INCLUSIVE CARGA, DESCARGA E TRANSP. EM CAMINHÃO CARROCERIA C/ GUINDAUTO(MUNCK), EXCLUSIVE LOCAÇÃO DO CONTAINER</t>
  </si>
  <si>
    <t>MOVIMENTAÇÃO DE TERRA E LIMPEZA DO TERRENO</t>
  </si>
  <si>
    <t>4.1.6</t>
  </si>
  <si>
    <t>SINAPI</t>
  </si>
  <si>
    <t>ESCAVAÇÃO VERTICAL PARA INFRAESTRUTURA, COM CARGA, DESCARGA E TRANSPORTE DE SOLO DE 1ª CATEGORIA, COM ESCAVADEIRA HIDRÁULICA (CAÇAMBA: 0,8 M³ / 111HP), FROTA DE 5 CAMINHÕES BASCULANTES DE 14 M³, DMT DE 2 KM E VELOCIDADE MÉDIA 19 KM/H. AF_05/2020 - BOTA FORA DO MATERIAL</t>
  </si>
  <si>
    <t>ESCAVAÇÃO VERTICAL PARA INFRAESTRUTURA, COM CARGA, DESCARGA E TRANSPORTE DE SOLO DE 1ª CATEGORIA, COM ESCAVADEIRA HIDRÁULICA (CAÇAMBA: 0,8 M³ / 111HP), FROTA DE 5 CAMINHÕES BASCULANTES DE 14 M³, DMT DE 2 KM E VELOCIDADE MÉDIA 19 KM/H. AF_05/2020 - FORNECIMENTO DE MATERIAL PARA REATERRO DO MURO DE CONTENÇÃO</t>
  </si>
  <si>
    <t xml:space="preserve">TRANSPORTE COM CAMINHÃO BASCULANTE DE 10 M³, EM VIA URBANA PAVIMENTADA, DMT ATÉ 30 KM AF_07/2020 </t>
  </si>
  <si>
    <t>93358</t>
  </si>
  <si>
    <t>ESCAVAÇÃO MANUAL DE VALA COM PROFUNDIDADE MENOR OU IGUAL A 1,30 M. AF_02/2021</t>
  </si>
  <si>
    <t>REATERRO MANUAL DE VALAS, COM COMPACTADOR DE SOLOS DE PERCUSSÃO. AF_08/2023</t>
  </si>
  <si>
    <t>LIMPEZA MECANIZADA DE CAMADA VEGETAL, VEGETAÇÃO E PEQUENAS ÁRVORES (DIÂMETRO DE TRONCO MENOR QUE 0,20 M), COM TRATOR DE ESTEIRAS. AF_03/2024</t>
  </si>
  <si>
    <t>DEMOLIÇÃO DE GUIAS, SARJETAS OU SARJETÕES, DE FORMA MECANIZADA, SEM REAPROVEITAMENTO. AF_09/2023</t>
  </si>
  <si>
    <t>CARGA, MANOBRA E DESCARGA DE SOLOS E MATERIAIS GRANULARES EM CAMINHÃO BASCULANTE 10 M³ - CARGA COM PÁ CARREGADEIRA (CAÇAMBA DE 1,7 A 2,8 M³ / 128 HP) E DESCARGA LIVRE (UNIDADE: M3). AF_07/2020</t>
  </si>
  <si>
    <t>TRANSPORTE COM CAMINHÃO BASCULANTE DE 18 M³, EM VIA URBANA PAVIMENTADA, DMT ATÉ 30 KM (UNIDADE: M3XKM). AF_07/2020</t>
  </si>
  <si>
    <t>PORTÃO PIVOTANTE NYLOFOR, COMPOSTO DE QUADRO, PAINÉIS E ACESSÓRIOS COM PINTURA ELETROSTÁTICA COM TINTA POLIESTER, NAS CORES VERDE OU BRANCA, COM POSTE EM AÇO REVESTIDO, COR VERDE OU BRANCA - FORNECIMENTO E MONTAGEM</t>
  </si>
  <si>
    <t>C4556</t>
  </si>
  <si>
    <t>SEINFRA</t>
  </si>
  <si>
    <t>4.3.1</t>
  </si>
  <si>
    <t>4.3.2</t>
  </si>
  <si>
    <t>MURETA/ENCHIMENTO EM CONCRETO CICLÓPICO, ESP. DE 15CM, ALTURA MÉDIA IGUAL A 0,4 M. INCLUSIVE ESCAVAÇÕES, MONTAGEM E DESMONTAGEM DE FORMA, CONCRETAGEM, CHAPISCO E RECOBO (ESP.=25MM). (SOB CERCA NYLOFOR EXISTENTE)</t>
  </si>
  <si>
    <t>GUIA DE CORDÃO BOLEADO, EM CONCRETO COM FCK 20MPA, PRÉ-MOLDADA, 10X10CM (ALTURA X LARGURA), INCLUSIVE UMA (1) FIADA DE BLOCO DE CONCRETO, ESP. 9CM, ESCAVAÇÃO, APILOAMENTO E TRANSPORTE COM RETIRADA DO MATERIAL ESCAVADO (EM CAÇAMBA)</t>
  </si>
  <si>
    <t>ED-51135</t>
  </si>
  <si>
    <t>MURETAS E PAVIMENTAÇÃO</t>
  </si>
  <si>
    <t>DEMOLIÇÕES</t>
  </si>
  <si>
    <t>EXECUÇÃO DE PAVIMENTO EM PISO INTERTRAVADO, COM BLOCO RETANGULAR COLORIDO DE 20 X 10 CM, ESPESSURA 8 CM. AF_10/2022</t>
  </si>
  <si>
    <t>EXECUÇÃO DE PAVIMENTO EM PISO INTERTRAVADO, COM BLOCO RETANGULAR COR NATURAL DE 20 X 10 CM, ESPESSURA 8 CM. AF_10/2022</t>
  </si>
  <si>
    <t>5.1.1</t>
  </si>
  <si>
    <t>5.1.2</t>
  </si>
  <si>
    <t>5.1.3</t>
  </si>
  <si>
    <t>5.1.4</t>
  </si>
  <si>
    <t>5.1.5</t>
  </si>
  <si>
    <t>5.1.6</t>
  </si>
  <si>
    <t>4.2.2</t>
  </si>
  <si>
    <t>4.3.5</t>
  </si>
  <si>
    <t>4.3.6</t>
  </si>
  <si>
    <t>4.3.7</t>
  </si>
  <si>
    <t>4.3.8</t>
  </si>
  <si>
    <t>5.2.2</t>
  </si>
  <si>
    <t>5.2.1</t>
  </si>
  <si>
    <t>5.2.3</t>
  </si>
  <si>
    <t>5.2.4</t>
  </si>
  <si>
    <t>ILUMINAÇÃO DAS ÁREAS DE CONVÍVIO</t>
  </si>
  <si>
    <t>PONTO DE RECARGA PARA VEÍCULOS</t>
  </si>
  <si>
    <t>EDUCAÇÃO-SP</t>
  </si>
  <si>
    <t>16.03.066</t>
  </si>
  <si>
    <t>ARBUSTO H=0.50 A 0.70M - AZALÉIA</t>
  </si>
  <si>
    <t>ARBUSTO MUSSAENDA H=0,50 A 0,70M</t>
  </si>
  <si>
    <t>16.03.316</t>
  </si>
  <si>
    <t>MESA DE JOGOS COM 4 BANCOS,TAMPO DE MESA EM MARMORITE ARMADO,NA COR NATURAL,TENDO NO CENTRO TABULEIRO DE XADREZ EM MARMORITE NAS CORES BRANCA E PRETA,PES(MESA E BANCOS)DE CONCRETOARMADO.FORNECIMENTO E COLOCACAO</t>
  </si>
  <si>
    <t>EMOP</t>
  </si>
  <si>
    <t>09.014.0015-0</t>
  </si>
  <si>
    <t>ORSE</t>
  </si>
  <si>
    <t>SUDECAP</t>
  </si>
  <si>
    <t>18.76.03</t>
  </si>
  <si>
    <t>PLAYGROUND BRINQUEDOS DE MADEIRA - CASA TARZAN COM RAMPA ESCALADA, ESCORREGADOR, PONTE E ESCADA MARINHEIRO</t>
  </si>
  <si>
    <t>SIURB</t>
  </si>
  <si>
    <t>PLANTIO DE GRAMA ESMERALDA OU SÃO CARLOS OU CURITIBANA, EM PLACAS. AF_07/2024</t>
  </si>
  <si>
    <t>34.20.384</t>
  </si>
  <si>
    <t>OBRAS-SP</t>
  </si>
  <si>
    <t>COLETOR DE RESÍDUO LEVE - LIXEIRA - CESTO COLETOR RESÍDUO (LIXEIRA) METÁLICO SIMPLES QUADRADO PADRÃO SLU MQS</t>
  </si>
  <si>
    <t>BICICLETÁRIO MODELO U INVERTIDO EM TUBO CIRCULAR DE AÇO Ø 2", SEM EMENDAS, MEDIDAS DE 82CM ALTURA E 78CM LARGURA, COM ACABAMENTO EM PINTURA ELETROSTÁTICA, PARA FIXAÇÃO CHUMBADO</t>
  </si>
  <si>
    <t>BANCO COM ENCOSTO, COMPR=1,50M, LARGURA=30CM, PÉ DE FERRO FUNDIDO E COM 10 RÉGUAS DE MADEIRA, INCLUSIVE PINTURA</t>
  </si>
  <si>
    <t>RAMPA PARA CÃES EM MADEIRA CUMARU OU SIMILAR, COM RAMPAS COM 0,80M DE LARGURA, EXECUTADA COM ASSOALHO DE PAU DARCO SOBRE DUAS PEÇAS 7 X 15CM. PILARETES EM MADEIRA CUMARU 0,1X0,1M (LARG. X COMP.) APOIADA EM BASE.FORNECIMENTO E INSTALAÇÃO</t>
  </si>
  <si>
    <t>PASSARELA PET EM MADEIRA CUMARU OU SIMILAR, COM RAMPAS COM 0,80M DE LARGURA, EXECUTADA COM ASSOALHO DE PAU DARCO SOBRE DUAS PEÇAS 7 X 15CM E PATAMAR COM ASSOALHO DE MADEIRA COM DIMENSÕES 1,00X1,00X1,00M (LARG. X COMP. X ALT.). PILARETES EM MADEIRA CUMARU 0,1X0,1M (LARG. X COMP.) APOIADA EM BASE EM CONCRETO 20 MPA, COM DIMENSÕES 0,3X0,3X0,3M (LARG. X COMP. X ALT.).FORNECIMENTO E INSTALAÇÃO</t>
  </si>
  <si>
    <t>CPU-004</t>
  </si>
  <si>
    <t>MURETA EM BLOCO DE CONCRETO CHEIO, COM ESPESSURA ACABADA DE 20CM,  ALTURA DE 40CM, BLOCO DE 15CM, COM BASE EM CONCRETO CICLÓPICO 20X20CM, INCLUSIVE ESCAVAÇÃO COM TRANSPORTE E RETIRADA DO MATERIAL ESCAVADO (EM CAÇAMBA), IMPERMEABILIZAÇÃO, CHAPISCO E REBOCO (ESP.=25MM)</t>
  </si>
  <si>
    <t>CPU-005</t>
  </si>
  <si>
    <t>CERCA/GRADIL NYLOFOR H=1,03M, MALHA 5X20CM - FIO 5 MM, REVESTIDOS EM POLIESTER POR PROCESSO DE PINTURA ELETROSTÁTICA NAS CORES VERDE OU BRANCA. FORNECIMENTO E INSTALAÇÃO. INCLUSIVE POSTE E ACESSÓRIOS.</t>
  </si>
  <si>
    <t>CPU-006</t>
  </si>
  <si>
    <t>PAISAGISMO</t>
  </si>
  <si>
    <t>5.3</t>
  </si>
  <si>
    <t>PONTO HIDRÁULICO</t>
  </si>
  <si>
    <t>LUMINÁRIA FECHADA EM LED P/ILUMINAÇÃO PÚBLICA, MODELO LPL ÁTON 60W, CORPO ALUMÍNIO INJETADO, 5.000K, IP66, 120V A 277V, 50/60 HZ, VIDA ÚTIL 70.000HS, FP&gt;0,95, COM VIDRO REF C/TOMADA 7 PINOS(TELEGESTÃO), POSTE CÔNICO CONTÍNUO DE AÇO RETO, H=6,0M.</t>
  </si>
  <si>
    <t>FORNECIMENTO E ASSENTAMENTO DE TUBO PVC RÍGIDO SOLDÁVEL, ÁGUA FRIA, DN 20 MM (1/2"), INCLUSIVE CONEXÕES</t>
  </si>
  <si>
    <t>ED-50018</t>
  </si>
  <si>
    <t>ASSENTAMENTO DE GUIA (MEIO-FIO) EM TRECHO RETO, CONFECCIONADA EM CONCRETO PRÉ-FABRICADO, DIMENSÕES 100X15X13X30 CM (COMPRIMENTO X BASE INFERIOR X BASE SUPERIOR X ALTURA). AF_01/2024</t>
  </si>
  <si>
    <t>5.3.1</t>
  </si>
  <si>
    <t>5.3.2</t>
  </si>
  <si>
    <t>5.3.3</t>
  </si>
  <si>
    <t>5.3.4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</si>
  <si>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</si>
  <si>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</si>
  <si>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</si>
  <si>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</si>
  <si>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</si>
  <si>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</si>
  <si>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</si>
  <si>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</si>
  <si>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</si>
  <si>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</si>
  <si>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CPU-011</t>
  </si>
  <si>
    <t xml:space="preserve">BARRA DE SALTO COM APOIO EM MADEIRA ROLIÇA DE EUCALÍPTO TRATADO, D=20CM, E BARRA DE AÇO GALVANIZADA DE 1,20M DE COMPRIMENTO. </t>
  </si>
  <si>
    <t>CPU-012</t>
  </si>
  <si>
    <t xml:space="preserve">ARGOLA DE SALTO DE MADEIRA CUMARU OU SIMILAR, APARELHADA, IMUNIZADA E ENVERNIZADA, COM 2,0M DE LARGURA E 1,55M DE ALTURA. PILAR E VIGA COM DIMENSÕES 10X10CM, APARELHADA, COM QUINAS BAULADAS. ARGOLA EM TUBO DE AÇO GALNANIZADO, DI=50MM E ESP.=3,00MM, FIXADA COM CORRENTE GALVANIZADA ELO CURTO, ESP.= 6,0MM, COM PINTURA ESMALTE  FUNDO ANTICORROSIVO. INCLUSIVE ESCAVAÇÃO, CONCRETAGEM E REATERRO DE FUNDAÇÕES. </t>
  </si>
  <si>
    <t>ARBUSTO H=0.60 A 0.80M - AMETISTA</t>
  </si>
  <si>
    <t>PRAZO DE EXECUÇÃO: 4 MESES</t>
  </si>
  <si>
    <t>TÚNEL PARA CÃES, COM TAMBOR PLÁSTICO DUPLO (VERDE OU AZUL), COM DIÂMETRO DE 0,55M  E COMPRIMENTO TOTAL IGUAL A 1,70M. COM QUADRO ESTRUTURADO EM MADEIRA CUMARU OU SIMILAR, CAIBRO APARELHADO, LARG. 5,0 X 5,0CM. COM PASSARELA EM TÁBUA DE MADEIRA DE LEI INTERNA PINTADA, LARG. DE 0,20M.</t>
  </si>
  <si>
    <t>PONTO DE ÁGUA FRIA APARENTE, C/MATERIAL PVC RÍGIDO SOLDÁVEL Ø 25MM</t>
  </si>
  <si>
    <t>EQUIPAMENTOS E BRIQUEDOS</t>
  </si>
  <si>
    <t>ILUMINAÇÃO, PONTO DE RECARGA E PONTOS DE ÁGUA</t>
  </si>
  <si>
    <t>INSTALAÇÕES INICIAIS DA OBRA</t>
  </si>
  <si>
    <t>8.1</t>
  </si>
  <si>
    <t>8.2</t>
  </si>
  <si>
    <t>8.3</t>
  </si>
  <si>
    <t>8.4</t>
  </si>
  <si>
    <t>DRENAGEM</t>
  </si>
  <si>
    <t>ENROCAMENTO MANUAL COM PEDRA DE MÃO ARRUMADA, INCLUSIVE FORNECIMENTO, EXCLUSIVE REJUNTAMENTO COM ARGAMASS</t>
  </si>
  <si>
    <t>ED-49541</t>
  </si>
  <si>
    <t>GEOTÊXTIL NÃO TECIDO 100% POLIÉSTER, RESISTÊNCIA A TRAÇÃO DE 14 KN/M (RT - 14), INSTALADO EM DRENO - FORNECIMENTO E INSTALAÇÃO. AF_07/2021</t>
  </si>
  <si>
    <t>8.6</t>
  </si>
  <si>
    <t>DRENO SUBSUPERFICIAL (SEÇÃO 0,40 X 0,40 M), COM TUBO DE PEAD CORRUGADO PERFURADO, DN 100 MM, ENCHIMENTO COM BRITA, ENVOLVIDO COM MANTA GEOTÊXTIL. AF_07/2021</t>
  </si>
  <si>
    <t>CANALETA PARA DRENAGEM, EM CONCRETO COM FCK 15MPA, MOLDADA IN LOCO, SEÇÃO 30X20CM, FORMA EM MADEIRA, COM GRELHA EM BARRA REDONDA DN 12,5MM (1/2") E REQUADRO EM BARRA REDONDA DN 20MM (3/4") COM UMA (1) DEMÃO DE FUNDO ANTICORROSIVO E DUAS (2) DEMÃOS DE PINTURA ESMALTE, INCLUSIVE ESCAVAÇÃO, REATERRO COM TRANSPORTE E RETIRADA DO MATERIAL ESCAVADO (EM CAÇAMBA)</t>
  </si>
  <si>
    <t>ED-14746</t>
  </si>
  <si>
    <t>CAIXA DE DRENAGEM DE INSPEÇÃO/PASSAGEM EM ALVENARIA (40X40X60CM), REVESTIMENTO EM ARGAMASSA COM ADITIVO IMPERMEABILIZANTE, COM TAMPA EM GRELHA, INCLUSIVE ESCAVAÇÃO, REATERRO E TRANSPORTE E RETIRADA DO MATERIAL ESCAVADO (EM CAÇAMBA)</t>
  </si>
  <si>
    <t>UN.</t>
  </si>
  <si>
    <t>ED-49909</t>
  </si>
  <si>
    <t>REGIÃO/MÊS DE REFERÊNCIA: SEINFRA-CE 10/2023 - EDUCAÇÃO-SP, EMOP, ORSE, SICRO, SUDECAP, SICOR MG CENTRAL 04/2025 - SIURB 01/2025 - CDHU/OBRAS-SP, SINAPI 05/2025 -  NÃO DESONERADA</t>
  </si>
  <si>
    <t>Eng. Civil Dilermando de Aranda Lima</t>
  </si>
  <si>
    <t>49.378/D</t>
  </si>
  <si>
    <t>UNID.</t>
  </si>
  <si>
    <t>TOTAL GERAL DA OBRA :</t>
  </si>
  <si>
    <t>LOCAL: RUA ANTÔNIO LOUREIRO SOBRINHO, S/Nº - B. LUCÍLIA, JOÃO MONLEVADE</t>
  </si>
  <si>
    <t>OBRA: PROJETO DO ESPAÇO DE LAZER E ESTACIONAMENTO NO PARQUE DO AREÃO</t>
  </si>
  <si>
    <t>3.2</t>
  </si>
  <si>
    <t>3.3</t>
  </si>
  <si>
    <t>ED-28427</t>
  </si>
  <si>
    <t>LOCAÇÃO DE BANHEIRO QUÍMICO, DIMENSÃO (110X120X230)CM, LINHA PADRÃO, CONTENDO UMA (1) PIA/HIGIENIZADOR DE MÃOS, INCLUSIVE MANUTENÇÃO E MOBILIZAÇÃO/DESMOBILIZAÇÃO</t>
  </si>
  <si>
    <t>ED-50155</t>
  </si>
  <si>
    <t>3.4</t>
  </si>
  <si>
    <t>CPU-010</t>
  </si>
  <si>
    <t xml:space="preserve"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 </t>
  </si>
  <si>
    <t>23/09/2025</t>
  </si>
  <si>
    <t>8.5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</si>
</sst>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%"/>
  </numFmts>
  <fonts count="24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11"/>
      <name val="Arial Narrow"/>
      <family val="2"/>
    </font>
    <font>
      <u/>
      <sz val="8"/>
      <name val="Arial Narrow"/>
      <family val="2"/>
    </font>
    <font>
      <u/>
      <sz val="8"/>
      <color indexed="8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ECACA"/>
        <bgColor indexed="64"/>
      </patternFill>
    </fill>
    <fill>
      <patternFill patternType="solid">
        <fgColor rgb="FFD7E9E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" fontId="2" fillId="0" borderId="1">
      <alignment vertical="justify"/>
    </xf>
    <xf numFmtId="0" fontId="2" fillId="0" borderId="0"/>
    <xf numFmtId="0" fontId="2" fillId="0" borderId="0"/>
    <xf numFmtId="0" fontId="21" fillId="0" borderId="0"/>
    <xf numFmtId="0" fontId="21" fillId="0" borderId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10" fillId="3" borderId="2" xfId="0" applyFont="1" applyFill="1" applyBorder="1" applyAlignment="1">
      <alignment horizontal="center" vertical="center"/>
    </xf>
    <xf numFmtId="0" fontId="6" fillId="0" borderId="0" xfId="0" applyFont="1" applyBorder="1"/>
    <xf numFmtId="4" fontId="10" fillId="4" borderId="2" xfId="2" applyFont="1" applyFill="1" applyBorder="1" applyAlignment="1">
      <alignment horizontal="center" vertical="center" wrapText="1"/>
    </xf>
    <xf numFmtId="4" fontId="10" fillId="4" borderId="2" xfId="2" applyFont="1" applyFill="1" applyBorder="1" applyAlignment="1">
      <alignment horizontal="center" vertical="center"/>
    </xf>
    <xf numFmtId="10" fontId="10" fillId="0" borderId="2" xfId="2" applyNumberFormat="1" applyFont="1" applyBorder="1" applyAlignment="1">
      <alignment horizontal="left" vertical="center"/>
    </xf>
    <xf numFmtId="10" fontId="8" fillId="0" borderId="2" xfId="2" applyNumberFormat="1" applyFont="1" applyBorder="1" applyAlignment="1">
      <alignment horizontal="center" vertical="center"/>
    </xf>
    <xf numFmtId="10" fontId="8" fillId="0" borderId="2" xfId="7" applyNumberFormat="1" applyFont="1" applyFill="1" applyBorder="1" applyAlignment="1">
      <alignment horizontal="center" vertical="center"/>
    </xf>
    <xf numFmtId="166" fontId="8" fillId="0" borderId="2" xfId="7" applyNumberFormat="1" applyFont="1" applyFill="1" applyBorder="1" applyAlignment="1">
      <alignment horizontal="center" vertical="center"/>
    </xf>
    <xf numFmtId="10" fontId="10" fillId="0" borderId="2" xfId="2" applyNumberFormat="1" applyFont="1" applyBorder="1" applyAlignment="1">
      <alignment horizontal="left" vertical="center" wrapText="1"/>
    </xf>
    <xf numFmtId="10" fontId="8" fillId="0" borderId="2" xfId="2" applyNumberFormat="1" applyFont="1" applyBorder="1" applyAlignment="1">
      <alignment horizontal="left" vertical="center" wrapText="1"/>
    </xf>
    <xf numFmtId="10" fontId="8" fillId="0" borderId="2" xfId="7" applyNumberFormat="1" applyFont="1" applyBorder="1" applyAlignment="1">
      <alignment horizontal="center" vertical="center"/>
    </xf>
    <xf numFmtId="166" fontId="8" fillId="0" borderId="2" xfId="7" applyNumberFormat="1" applyFont="1" applyBorder="1" applyAlignment="1">
      <alignment horizontal="center" vertical="center"/>
    </xf>
    <xf numFmtId="10" fontId="8" fillId="2" borderId="2" xfId="7" applyNumberFormat="1" applyFont="1" applyFill="1" applyBorder="1" applyAlignment="1">
      <alignment horizontal="center" vertical="center"/>
    </xf>
    <xf numFmtId="10" fontId="15" fillId="0" borderId="2" xfId="7" applyNumberFormat="1" applyFont="1" applyBorder="1" applyAlignment="1">
      <alignment horizontal="center" vertical="center"/>
    </xf>
    <xf numFmtId="10" fontId="11" fillId="0" borderId="2" xfId="7" applyNumberFormat="1" applyFont="1" applyBorder="1" applyAlignment="1">
      <alignment horizontal="center" vertical="center"/>
    </xf>
    <xf numFmtId="4" fontId="10" fillId="0" borderId="0" xfId="2" applyFont="1" applyFill="1" applyBorder="1" applyAlignment="1">
      <alignment horizontal="justify" vertical="center" wrapText="1"/>
    </xf>
    <xf numFmtId="10" fontId="9" fillId="0" borderId="0" xfId="7" applyNumberFormat="1" applyFont="1" applyFill="1" applyBorder="1" applyAlignment="1">
      <alignment horizontal="justify" vertical="center" wrapText="1"/>
    </xf>
    <xf numFmtId="10" fontId="10" fillId="0" borderId="0" xfId="7" applyNumberFormat="1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10" fillId="3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8" fillId="0" borderId="0" xfId="0" applyFont="1"/>
    <xf numFmtId="0" fontId="18" fillId="0" borderId="0" xfId="0" applyFont="1"/>
    <xf numFmtId="3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Alignment="1">
      <alignment vertical="distributed"/>
    </xf>
    <xf numFmtId="0" fontId="6" fillId="0" borderId="0" xfId="0" applyFont="1" applyAlignment="1">
      <alignment horizontal="justify" vertical="distributed"/>
    </xf>
    <xf numFmtId="0" fontId="22" fillId="0" borderId="0" xfId="0" applyFont="1"/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6" fillId="4" borderId="2" xfId="0" applyNumberFormat="1" applyFont="1" applyFill="1" applyBorder="1" applyAlignment="1">
      <alignment horizontal="center" vertical="center" wrapText="1"/>
    </xf>
    <xf numFmtId="1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/>
    </xf>
    <xf numFmtId="165" fontId="16" fillId="4" borderId="2" xfId="8" applyFont="1" applyFill="1" applyBorder="1" applyAlignment="1">
      <alignment horizontal="right" vertical="center" wrapText="1"/>
    </xf>
    <xf numFmtId="164" fontId="16" fillId="4" borderId="2" xfId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4" fontId="6" fillId="0" borderId="2" xfId="1" applyFont="1" applyFill="1" applyBorder="1" applyAlignment="1">
      <alignment vertical="center"/>
    </xf>
    <xf numFmtId="164" fontId="6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5" fontId="6" fillId="0" borderId="2" xfId="8" applyFont="1" applyBorder="1" applyAlignment="1">
      <alignment vertical="center"/>
    </xf>
    <xf numFmtId="164" fontId="6" fillId="0" borderId="2" xfId="1" applyFont="1" applyBorder="1" applyAlignment="1">
      <alignment vertical="center"/>
    </xf>
    <xf numFmtId="164" fontId="16" fillId="0" borderId="2" xfId="1" applyFont="1" applyBorder="1" applyAlignment="1">
      <alignment vertical="center" wrapText="1"/>
    </xf>
    <xf numFmtId="164" fontId="16" fillId="0" borderId="2" xfId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/>
    </xf>
    <xf numFmtId="164" fontId="16" fillId="4" borderId="2" xfId="1" applyFont="1" applyFill="1" applyBorder="1" applyAlignment="1">
      <alignment vertical="center"/>
    </xf>
    <xf numFmtId="164" fontId="16" fillId="4" borderId="2" xfId="1" applyFont="1" applyFill="1" applyBorder="1" applyAlignment="1">
      <alignment vertical="center" wrapText="1"/>
    </xf>
    <xf numFmtId="1" fontId="6" fillId="0" borderId="2" xfId="10" applyNumberFormat="1" applyFont="1" applyFill="1" applyBorder="1" applyAlignment="1">
      <alignment horizontal="center" vertical="center" wrapText="1"/>
    </xf>
    <xf numFmtId="0" fontId="6" fillId="0" borderId="2" xfId="10" applyNumberFormat="1" applyFont="1" applyFill="1" applyBorder="1" applyAlignment="1">
      <alignment horizontal="center" vertical="center" wrapText="1"/>
    </xf>
    <xf numFmtId="0" fontId="6" fillId="0" borderId="2" xfId="10" applyNumberFormat="1" applyFont="1" applyFill="1" applyBorder="1" applyAlignment="1">
      <alignment horizontal="left" vertical="center" wrapText="1"/>
    </xf>
    <xf numFmtId="165" fontId="6" fillId="0" borderId="2" xfId="1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right" vertical="center"/>
    </xf>
    <xf numFmtId="0" fontId="16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 wrapText="1"/>
    </xf>
    <xf numFmtId="164" fontId="16" fillId="5" borderId="2" xfId="1" applyFont="1" applyFill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64" fontId="16" fillId="0" borderId="2" xfId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65" fontId="6" fillId="0" borderId="2" xfId="10" applyFont="1" applyFill="1" applyBorder="1" applyAlignment="1">
      <alignment horizontal="left" vertical="center" wrapText="1"/>
    </xf>
    <xf numFmtId="164" fontId="16" fillId="0" borderId="2" xfId="1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49" fontId="13" fillId="0" borderId="7" xfId="0" applyNumberFormat="1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10" fontId="13" fillId="0" borderId="9" xfId="0" applyNumberFormat="1" applyFont="1" applyBorder="1" applyAlignment="1">
      <alignment horizontal="center" vertical="center"/>
    </xf>
    <xf numFmtId="10" fontId="13" fillId="0" borderId="9" xfId="7" applyNumberFormat="1" applyFont="1" applyFill="1" applyBorder="1" applyAlignment="1">
      <alignment horizontal="center" vertical="center"/>
    </xf>
    <xf numFmtId="10" fontId="13" fillId="0" borderId="7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10" fontId="13" fillId="0" borderId="7" xfId="7" applyNumberFormat="1" applyFont="1" applyFill="1" applyBorder="1" applyAlignment="1">
      <alignment horizontal="left" vertical="center"/>
    </xf>
    <xf numFmtId="165" fontId="6" fillId="0" borderId="2" xfId="8" applyFont="1" applyBorder="1" applyAlignment="1">
      <alignment horizontal="center" vertical="center"/>
    </xf>
    <xf numFmtId="165" fontId="16" fillId="4" borderId="2" xfId="8" applyFont="1" applyFill="1" applyBorder="1" applyAlignment="1">
      <alignment horizontal="center" vertical="center"/>
    </xf>
    <xf numFmtId="165" fontId="6" fillId="0" borderId="2" xfId="8" applyFont="1" applyFill="1" applyBorder="1" applyAlignment="1">
      <alignment horizontal="center" vertical="center"/>
    </xf>
    <xf numFmtId="165" fontId="16" fillId="5" borderId="2" xfId="8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8" applyNumberFormat="1" applyFont="1" applyFill="1" applyBorder="1" applyAlignment="1">
      <alignment horizontal="center" vertical="center"/>
    </xf>
    <xf numFmtId="43" fontId="4" fillId="0" borderId="0" xfId="0" applyNumberFormat="1" applyFont="1"/>
    <xf numFmtId="0" fontId="6" fillId="0" borderId="3" xfId="0" applyFont="1" applyBorder="1" applyAlignment="1">
      <alignment horizontal="center" vertical="distributed"/>
    </xf>
    <xf numFmtId="0" fontId="17" fillId="0" borderId="0" xfId="0" applyFont="1" applyFill="1" applyAlignment="1">
      <alignment horizontal="center" vertical="distributed"/>
    </xf>
    <xf numFmtId="0" fontId="17" fillId="0" borderId="0" xfId="0" applyFont="1" applyFill="1" applyBorder="1" applyAlignment="1">
      <alignment horizontal="center" vertical="distributed"/>
    </xf>
    <xf numFmtId="0" fontId="20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distributed"/>
    </xf>
    <xf numFmtId="0" fontId="7" fillId="0" borderId="0" xfId="0" applyFont="1" applyFill="1" applyAlignment="1">
      <alignment horizontal="center" vertical="distributed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64" fontId="6" fillId="4" borderId="2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distributed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5" fontId="19" fillId="3" borderId="5" xfId="8" applyFont="1" applyFill="1" applyBorder="1" applyAlignment="1">
      <alignment horizontal="right" vertical="center" wrapText="1"/>
    </xf>
    <xf numFmtId="165" fontId="19" fillId="3" borderId="6" xfId="8" applyFont="1" applyFill="1" applyBorder="1" applyAlignment="1">
      <alignment horizontal="right" vertical="center" wrapText="1"/>
    </xf>
    <xf numFmtId="165" fontId="19" fillId="3" borderId="7" xfId="8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distributed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4" applyFont="1" applyBorder="1" applyAlignment="1">
      <alignment horizontal="justify" vertical="center" wrapText="1"/>
    </xf>
    <xf numFmtId="4" fontId="5" fillId="6" borderId="2" xfId="2" applyFont="1" applyFill="1" applyBorder="1" applyAlignment="1">
      <alignment horizontal="center" vertical="center" wrapText="1"/>
    </xf>
    <xf numFmtId="4" fontId="10" fillId="0" borderId="2" xfId="2" applyFont="1" applyBorder="1" applyAlignment="1">
      <alignment horizontal="center" vertical="center"/>
    </xf>
    <xf numFmtId="4" fontId="10" fillId="0" borderId="12" xfId="2" applyFont="1" applyBorder="1" applyAlignment="1">
      <alignment horizontal="center" vertical="center"/>
    </xf>
    <xf numFmtId="4" fontId="14" fillId="0" borderId="2" xfId="2" applyFont="1" applyBorder="1" applyAlignment="1">
      <alignment horizontal="center"/>
    </xf>
    <xf numFmtId="4" fontId="8" fillId="0" borderId="12" xfId="2" applyFont="1" applyBorder="1" applyAlignment="1">
      <alignment horizontal="center" vertical="top"/>
    </xf>
    <xf numFmtId="4" fontId="8" fillId="0" borderId="2" xfId="2" applyFont="1" applyBorder="1" applyAlignment="1">
      <alignment horizontal="center" vertical="center"/>
    </xf>
    <xf numFmtId="10" fontId="10" fillId="4" borderId="2" xfId="7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1">
    <cellStyle name="Moeda" xfId="1" builtinId="4"/>
    <cellStyle name="Normal" xfId="0" builtinId="0"/>
    <cellStyle name="Normal 10" xfId="2"/>
    <cellStyle name="Normal 10 4" xfId="3"/>
    <cellStyle name="Normal 2 3" xfId="4"/>
    <cellStyle name="Normal 3 6" xfId="5"/>
    <cellStyle name="Normal 3 7" xfId="6"/>
    <cellStyle name="Porcentagem 2" xfId="7"/>
    <cellStyle name="Separador de milhares" xfId="8" builtinId="3"/>
    <cellStyle name="Vírgula 11 9" xfId="9"/>
    <cellStyle name="Vírgula 2 3 15" xfId="10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85725</xdr:rowOff>
    </xdr:from>
    <xdr:to>
      <xdr:col>3</xdr:col>
      <xdr:colOff>1323975</xdr:colOff>
      <xdr:row>0</xdr:row>
      <xdr:rowOff>723900</xdr:rowOff>
    </xdr:to>
    <xdr:pic>
      <xdr:nvPicPr>
        <xdr:cNvPr id="25790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85725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2019300</xdr:colOff>
      <xdr:row>0</xdr:row>
      <xdr:rowOff>85725</xdr:rowOff>
    </xdr:from>
    <xdr:to>
      <xdr:col>8</xdr:col>
      <xdr:colOff>38100</xdr:colOff>
      <xdr:row>0</xdr:row>
      <xdr:rowOff>723900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619500" y="85725"/>
          <a:ext cx="4829175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19050</xdr:rowOff>
    </xdr:from>
    <xdr:to>
      <xdr:col>3</xdr:col>
      <xdr:colOff>1114425</xdr:colOff>
      <xdr:row>0</xdr:row>
      <xdr:rowOff>381000</xdr:rowOff>
    </xdr:to>
    <xdr:pic>
      <xdr:nvPicPr>
        <xdr:cNvPr id="17311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5" y="19050"/>
          <a:ext cx="6667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28575</xdr:rowOff>
    </xdr:from>
    <xdr:to>
      <xdr:col>23</xdr:col>
      <xdr:colOff>600075</xdr:colOff>
      <xdr:row>55</xdr:row>
      <xdr:rowOff>9525</xdr:rowOff>
    </xdr:to>
    <xdr:pic>
      <xdr:nvPicPr>
        <xdr:cNvPr id="16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352425"/>
          <a:ext cx="13716000" cy="856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5">
    <pageSetUpPr fitToPage="1"/>
  </sheetPr>
  <dimension ref="A1:O102"/>
  <sheetViews>
    <sheetView tabSelected="1" view="pageBreakPreview" zoomScaleSheetLayoutView="100" workbookViewId="0">
      <pane ySplit="8" topLeftCell="A9" activePane="bottomLeft" state="frozen"/>
      <selection pane="bottomLeft" activeCell="A93" sqref="A93"/>
    </sheetView>
  </sheetViews>
  <sheetFormatPr defaultRowHeight="12.75"/>
  <cols>
    <col min="1" max="1" width="4.5703125" style="1" customWidth="1"/>
    <col min="2" max="2" width="11.7109375" style="1" customWidth="1"/>
    <col min="3" max="3" width="8.42578125" style="1" bestFit="1" customWidth="1"/>
    <col min="4" max="4" width="57.5703125" style="1" customWidth="1"/>
    <col min="5" max="5" width="6.140625" style="1" customWidth="1"/>
    <col min="6" max="6" width="9.5703125" style="1" customWidth="1"/>
    <col min="7" max="7" width="12.42578125" style="1" customWidth="1"/>
    <col min="8" max="8" width="13.140625" style="1" bestFit="1" customWidth="1"/>
    <col min="9" max="9" width="14.5703125" style="1" customWidth="1"/>
    <col min="10" max="10" width="9.140625" style="1"/>
    <col min="11" max="11" width="10.28515625" style="1" bestFit="1" customWidth="1"/>
    <col min="12" max="16384" width="9.140625" style="1"/>
  </cols>
  <sheetData>
    <row r="1" spans="1:15" ht="63.75" customHeight="1">
      <c r="A1" s="31"/>
      <c r="B1" s="32"/>
      <c r="C1" s="32"/>
      <c r="D1" s="32"/>
      <c r="E1" s="32"/>
      <c r="F1" s="32"/>
      <c r="G1" s="32"/>
      <c r="H1" s="32"/>
      <c r="I1" s="33"/>
      <c r="J1" s="95"/>
      <c r="K1" s="96"/>
      <c r="L1" s="96"/>
      <c r="M1" s="96"/>
      <c r="N1" s="96"/>
      <c r="O1" s="96"/>
    </row>
    <row r="2" spans="1:15" ht="6" customHeight="1">
      <c r="A2" s="111"/>
      <c r="B2" s="111"/>
      <c r="C2" s="111"/>
      <c r="D2" s="111"/>
      <c r="E2" s="111"/>
      <c r="F2" s="111"/>
      <c r="G2" s="111"/>
      <c r="H2" s="111"/>
      <c r="I2" s="111"/>
    </row>
    <row r="3" spans="1:15" ht="21" customHeight="1">
      <c r="A3" s="114" t="s">
        <v>45</v>
      </c>
      <c r="B3" s="114"/>
      <c r="C3" s="114"/>
      <c r="D3" s="114"/>
      <c r="E3" s="114"/>
      <c r="F3" s="114"/>
      <c r="G3" s="114"/>
      <c r="H3" s="114"/>
      <c r="I3" s="114"/>
    </row>
    <row r="4" spans="1:15" ht="6" customHeight="1">
      <c r="A4" s="111"/>
      <c r="B4" s="111"/>
      <c r="C4" s="111"/>
      <c r="D4" s="111"/>
      <c r="E4" s="111"/>
      <c r="F4" s="111"/>
      <c r="G4" s="111"/>
      <c r="H4" s="111"/>
      <c r="I4" s="111"/>
    </row>
    <row r="5" spans="1:15" ht="20.100000000000001" customHeight="1">
      <c r="A5" s="97" t="s">
        <v>234</v>
      </c>
      <c r="B5" s="97"/>
      <c r="C5" s="97"/>
      <c r="D5" s="97"/>
      <c r="E5" s="97"/>
      <c r="F5" s="97"/>
      <c r="G5" s="98"/>
      <c r="H5" s="73" t="s">
        <v>55</v>
      </c>
      <c r="I5" s="74" t="s">
        <v>243</v>
      </c>
    </row>
    <row r="6" spans="1:15" ht="20.100000000000001" customHeight="1">
      <c r="A6" s="101" t="s">
        <v>233</v>
      </c>
      <c r="B6" s="101"/>
      <c r="C6" s="101"/>
      <c r="D6" s="101"/>
      <c r="E6" s="101"/>
      <c r="F6" s="102" t="s">
        <v>46</v>
      </c>
      <c r="G6" s="102"/>
      <c r="H6" s="103"/>
      <c r="I6" s="103"/>
    </row>
    <row r="7" spans="1:15" ht="39" customHeight="1">
      <c r="A7" s="97" t="s">
        <v>228</v>
      </c>
      <c r="B7" s="97"/>
      <c r="C7" s="97"/>
      <c r="D7" s="97"/>
      <c r="E7" s="98"/>
      <c r="F7" s="75" t="s">
        <v>47</v>
      </c>
      <c r="G7" s="76" t="s">
        <v>48</v>
      </c>
      <c r="H7" s="75" t="s">
        <v>49</v>
      </c>
      <c r="I7" s="77" t="s">
        <v>50</v>
      </c>
    </row>
    <row r="8" spans="1:15" ht="20.100000000000001" customHeight="1">
      <c r="A8" s="98" t="s">
        <v>207</v>
      </c>
      <c r="B8" s="112"/>
      <c r="C8" s="112"/>
      <c r="D8" s="112"/>
      <c r="E8" s="113"/>
      <c r="F8" s="73" t="s">
        <v>51</v>
      </c>
      <c r="G8" s="78">
        <v>0.05</v>
      </c>
      <c r="H8" s="79" t="s">
        <v>52</v>
      </c>
      <c r="I8" s="80">
        <v>0.2467</v>
      </c>
    </row>
    <row r="9" spans="1:15" ht="6" customHeight="1">
      <c r="A9" s="107"/>
      <c r="B9" s="107"/>
      <c r="C9" s="107"/>
      <c r="D9" s="107"/>
      <c r="E9" s="107"/>
      <c r="F9" s="107"/>
      <c r="G9" s="107"/>
      <c r="H9" s="107"/>
      <c r="I9" s="107"/>
    </row>
    <row r="10" spans="1:15" ht="26.25" customHeight="1">
      <c r="A10" s="2" t="s">
        <v>0</v>
      </c>
      <c r="B10" s="109" t="s">
        <v>2</v>
      </c>
      <c r="C10" s="110"/>
      <c r="D10" s="2" t="s">
        <v>1</v>
      </c>
      <c r="E10" s="2" t="s">
        <v>231</v>
      </c>
      <c r="F10" s="2" t="s">
        <v>9</v>
      </c>
      <c r="G10" s="22" t="s">
        <v>110</v>
      </c>
      <c r="H10" s="22" t="s">
        <v>111</v>
      </c>
      <c r="I10" s="22" t="s">
        <v>3</v>
      </c>
    </row>
    <row r="11" spans="1:15">
      <c r="A11" s="34">
        <v>1</v>
      </c>
      <c r="B11" s="35"/>
      <c r="C11" s="36"/>
      <c r="D11" s="37" t="s">
        <v>42</v>
      </c>
      <c r="E11" s="36"/>
      <c r="F11" s="38"/>
      <c r="G11" s="99"/>
      <c r="H11" s="99"/>
      <c r="I11" s="39">
        <f>SUBTOTAL(9,I12:I12)</f>
        <v>3083.36</v>
      </c>
    </row>
    <row r="12" spans="1:15" ht="27" customHeight="1">
      <c r="A12" s="40" t="s">
        <v>4</v>
      </c>
      <c r="B12" s="41" t="s">
        <v>102</v>
      </c>
      <c r="C12" s="41" t="s">
        <v>76</v>
      </c>
      <c r="D12" s="42" t="s">
        <v>43</v>
      </c>
      <c r="E12" s="58" t="s">
        <v>70</v>
      </c>
      <c r="F12" s="87">
        <v>1</v>
      </c>
      <c r="G12" s="43">
        <f>H12/1.2467</f>
        <v>2473.2199999999998</v>
      </c>
      <c r="H12" s="44">
        <f>(I17+I23+I47+I68+I74+I86)*0.005</f>
        <v>3083.36</v>
      </c>
      <c r="I12" s="44">
        <f>F12*H12</f>
        <v>3083.36</v>
      </c>
    </row>
    <row r="13" spans="1:15" ht="6" customHeight="1">
      <c r="A13" s="45"/>
      <c r="B13" s="46"/>
      <c r="C13" s="46"/>
      <c r="D13" s="47"/>
      <c r="E13" s="45"/>
      <c r="F13" s="81"/>
      <c r="G13" s="49"/>
      <c r="H13" s="50"/>
      <c r="I13" s="51"/>
    </row>
    <row r="14" spans="1:15" ht="13.5" customHeight="1">
      <c r="A14" s="52">
        <v>2</v>
      </c>
      <c r="B14" s="36"/>
      <c r="C14" s="36"/>
      <c r="D14" s="60" t="s">
        <v>41</v>
      </c>
      <c r="E14" s="52"/>
      <c r="F14" s="82"/>
      <c r="G14" s="53"/>
      <c r="H14" s="39"/>
      <c r="I14" s="39">
        <f>SUBTOTAL(9,I15:I15)</f>
        <v>27617.19</v>
      </c>
    </row>
    <row r="15" spans="1:15" ht="20.100000000000001" customHeight="1">
      <c r="A15" s="45" t="s">
        <v>5</v>
      </c>
      <c r="B15" s="41" t="s">
        <v>74</v>
      </c>
      <c r="C15" s="58" t="s">
        <v>64</v>
      </c>
      <c r="D15" s="42" t="s">
        <v>41</v>
      </c>
      <c r="E15" s="58" t="s">
        <v>70</v>
      </c>
      <c r="F15" s="81">
        <v>1</v>
      </c>
      <c r="G15" s="49">
        <v>22152.23</v>
      </c>
      <c r="H15" s="44">
        <f>ROUND(G15*(1+$I$8),2)</f>
        <v>27617.19</v>
      </c>
      <c r="I15" s="44">
        <f>ROUND(F15*H15,2)</f>
        <v>27617.19</v>
      </c>
    </row>
    <row r="16" spans="1:15" ht="6" customHeight="1">
      <c r="A16" s="45"/>
      <c r="B16" s="46"/>
      <c r="C16" s="46"/>
      <c r="D16" s="47"/>
      <c r="E16" s="45"/>
      <c r="F16" s="81"/>
      <c r="G16" s="49"/>
      <c r="H16" s="50"/>
      <c r="I16" s="51"/>
    </row>
    <row r="17" spans="1:11">
      <c r="A17" s="52">
        <v>3</v>
      </c>
      <c r="B17" s="36"/>
      <c r="C17" s="36"/>
      <c r="D17" s="37" t="s">
        <v>212</v>
      </c>
      <c r="E17" s="52"/>
      <c r="F17" s="82"/>
      <c r="G17" s="53"/>
      <c r="H17" s="54"/>
      <c r="I17" s="39">
        <f>SUBTOTAL(9,I18:I21)</f>
        <v>12359.32</v>
      </c>
    </row>
    <row r="18" spans="1:11" ht="71.25" customHeight="1">
      <c r="A18" s="55" t="s">
        <v>54</v>
      </c>
      <c r="B18" s="41" t="s">
        <v>102</v>
      </c>
      <c r="C18" s="56" t="s">
        <v>237</v>
      </c>
      <c r="D18" s="57" t="s">
        <v>242</v>
      </c>
      <c r="E18" s="58" t="s">
        <v>70</v>
      </c>
      <c r="F18" s="81">
        <v>1</v>
      </c>
      <c r="G18" s="44">
        <v>1156.19</v>
      </c>
      <c r="H18" s="44">
        <f>ROUND(G18*(1+$I$8),2)</f>
        <v>1441.42</v>
      </c>
      <c r="I18" s="44">
        <f>ROUND(F18*H18,2)</f>
        <v>1441.42</v>
      </c>
    </row>
    <row r="19" spans="1:11" ht="76.5">
      <c r="A19" s="55" t="s">
        <v>235</v>
      </c>
      <c r="B19" s="41" t="s">
        <v>102</v>
      </c>
      <c r="C19" s="46" t="s">
        <v>93</v>
      </c>
      <c r="D19" s="47" t="s">
        <v>95</v>
      </c>
      <c r="E19" s="58" t="s">
        <v>44</v>
      </c>
      <c r="F19" s="58">
        <v>4</v>
      </c>
      <c r="G19" s="44">
        <v>794.83</v>
      </c>
      <c r="H19" s="44">
        <f>ROUND(G19*(1+$I$8),2)</f>
        <v>990.91</v>
      </c>
      <c r="I19" s="44">
        <f>ROUND(F19*H19,2)</f>
        <v>3963.64</v>
      </c>
    </row>
    <row r="20" spans="1:11" ht="39.75" customHeight="1">
      <c r="A20" s="55" t="s">
        <v>236</v>
      </c>
      <c r="B20" s="41" t="s">
        <v>102</v>
      </c>
      <c r="C20" s="46" t="s">
        <v>94</v>
      </c>
      <c r="D20" s="47" t="s">
        <v>112</v>
      </c>
      <c r="E20" s="58" t="s">
        <v>70</v>
      </c>
      <c r="F20" s="58">
        <v>1</v>
      </c>
      <c r="G20" s="44">
        <v>1658.12</v>
      </c>
      <c r="H20" s="44">
        <f>ROUND(G20*(1+$I$8),2)</f>
        <v>2067.1799999999998</v>
      </c>
      <c r="I20" s="44">
        <f>ROUND(F20*H20,2)</f>
        <v>2067.1799999999998</v>
      </c>
    </row>
    <row r="21" spans="1:11" ht="39.75" customHeight="1">
      <c r="A21" s="55" t="s">
        <v>240</v>
      </c>
      <c r="B21" s="41" t="s">
        <v>102</v>
      </c>
      <c r="C21" s="46" t="s">
        <v>239</v>
      </c>
      <c r="D21" s="47" t="s">
        <v>238</v>
      </c>
      <c r="E21" s="58" t="s">
        <v>44</v>
      </c>
      <c r="F21" s="58">
        <v>4</v>
      </c>
      <c r="G21" s="44">
        <v>980</v>
      </c>
      <c r="H21" s="44">
        <f>ROUND(G21*(1+$I$8),2)</f>
        <v>1221.77</v>
      </c>
      <c r="I21" s="44">
        <f>ROUND(F21*H21,2)</f>
        <v>4887.08</v>
      </c>
    </row>
    <row r="22" spans="1:11" ht="7.5" customHeight="1">
      <c r="A22" s="40"/>
      <c r="B22" s="41"/>
      <c r="C22" s="41"/>
      <c r="D22" s="61"/>
      <c r="E22" s="45"/>
      <c r="F22" s="83"/>
      <c r="G22" s="43"/>
      <c r="H22" s="59"/>
      <c r="I22" s="44"/>
    </row>
    <row r="23" spans="1:11" ht="25.5">
      <c r="A23" s="52">
        <v>4</v>
      </c>
      <c r="B23" s="36"/>
      <c r="C23" s="36"/>
      <c r="D23" s="60" t="s">
        <v>106</v>
      </c>
      <c r="E23" s="52"/>
      <c r="F23" s="82"/>
      <c r="G23" s="53"/>
      <c r="H23" s="54"/>
      <c r="I23" s="39">
        <f>I24+I32+I37</f>
        <v>364968.95</v>
      </c>
    </row>
    <row r="24" spans="1:11">
      <c r="A24" s="62" t="s">
        <v>8</v>
      </c>
      <c r="B24" s="63"/>
      <c r="C24" s="63"/>
      <c r="D24" s="64" t="s">
        <v>113</v>
      </c>
      <c r="E24" s="62"/>
      <c r="F24" s="84"/>
      <c r="G24" s="65"/>
      <c r="H24" s="65"/>
      <c r="I24" s="65">
        <f>SUBTOTAL(9,I25:I30)</f>
        <v>19318.150000000001</v>
      </c>
      <c r="K24" s="88"/>
    </row>
    <row r="25" spans="1:11" ht="63.75">
      <c r="A25" s="55" t="s">
        <v>79</v>
      </c>
      <c r="B25" s="41" t="s">
        <v>115</v>
      </c>
      <c r="C25" s="56">
        <v>101235</v>
      </c>
      <c r="D25" s="57" t="s">
        <v>116</v>
      </c>
      <c r="E25" s="58" t="s">
        <v>61</v>
      </c>
      <c r="F25" s="58">
        <v>194.71</v>
      </c>
      <c r="G25" s="44">
        <v>18.45</v>
      </c>
      <c r="H25" s="44">
        <f t="shared" ref="H25:H30" si="0">ROUND(G25*(1+$I$8),2)</f>
        <v>23</v>
      </c>
      <c r="I25" s="44">
        <f t="shared" ref="I25:I30" si="1">ROUND(F25*H25,2)</f>
        <v>4478.33</v>
      </c>
    </row>
    <row r="26" spans="1:11" ht="76.5">
      <c r="A26" s="55" t="s">
        <v>80</v>
      </c>
      <c r="B26" s="41" t="s">
        <v>115</v>
      </c>
      <c r="C26" s="56">
        <v>101235</v>
      </c>
      <c r="D26" s="57" t="s">
        <v>117</v>
      </c>
      <c r="E26" s="58" t="s">
        <v>7</v>
      </c>
      <c r="F26" s="58">
        <v>16.739999999999998</v>
      </c>
      <c r="G26" s="44">
        <v>18.45</v>
      </c>
      <c r="H26" s="44">
        <f t="shared" si="0"/>
        <v>23</v>
      </c>
      <c r="I26" s="44">
        <f t="shared" si="1"/>
        <v>385.02</v>
      </c>
    </row>
    <row r="27" spans="1:11" ht="26.25" customHeight="1">
      <c r="A27" s="55" t="s">
        <v>81</v>
      </c>
      <c r="B27" s="41" t="s">
        <v>115</v>
      </c>
      <c r="C27" s="56">
        <v>95875</v>
      </c>
      <c r="D27" s="57" t="s">
        <v>118</v>
      </c>
      <c r="E27" s="58" t="s">
        <v>72</v>
      </c>
      <c r="F27" s="58">
        <v>1721.97</v>
      </c>
      <c r="G27" s="44">
        <v>2.5099999999999998</v>
      </c>
      <c r="H27" s="44">
        <f t="shared" si="0"/>
        <v>3.13</v>
      </c>
      <c r="I27" s="44">
        <f t="shared" si="1"/>
        <v>5389.77</v>
      </c>
    </row>
    <row r="28" spans="1:11" ht="25.5">
      <c r="A28" s="55" t="s">
        <v>82</v>
      </c>
      <c r="B28" s="41" t="s">
        <v>115</v>
      </c>
      <c r="C28" s="56" t="s">
        <v>119</v>
      </c>
      <c r="D28" s="57" t="s">
        <v>120</v>
      </c>
      <c r="E28" s="58" t="s">
        <v>7</v>
      </c>
      <c r="F28" s="58">
        <v>57.33</v>
      </c>
      <c r="G28" s="44">
        <v>89.55</v>
      </c>
      <c r="H28" s="44">
        <f t="shared" si="0"/>
        <v>111.64</v>
      </c>
      <c r="I28" s="44">
        <f t="shared" si="1"/>
        <v>6400.32</v>
      </c>
    </row>
    <row r="29" spans="1:11" ht="25.5">
      <c r="A29" s="55" t="s">
        <v>83</v>
      </c>
      <c r="B29" s="41" t="s">
        <v>115</v>
      </c>
      <c r="C29" s="56">
        <v>93382</v>
      </c>
      <c r="D29" s="57" t="s">
        <v>121</v>
      </c>
      <c r="E29" s="58" t="s">
        <v>7</v>
      </c>
      <c r="F29" s="58">
        <v>16.739999999999998</v>
      </c>
      <c r="G29" s="44">
        <v>28.28</v>
      </c>
      <c r="H29" s="44">
        <f t="shared" si="0"/>
        <v>35.26</v>
      </c>
      <c r="I29" s="44">
        <f t="shared" si="1"/>
        <v>590.25</v>
      </c>
    </row>
    <row r="30" spans="1:11" ht="25.5" customHeight="1">
      <c r="A30" s="55" t="s">
        <v>114</v>
      </c>
      <c r="B30" s="41" t="s">
        <v>115</v>
      </c>
      <c r="C30" s="56">
        <v>98525</v>
      </c>
      <c r="D30" s="57" t="s">
        <v>122</v>
      </c>
      <c r="E30" s="58" t="s">
        <v>6</v>
      </c>
      <c r="F30" s="58">
        <v>2330.85</v>
      </c>
      <c r="G30" s="44">
        <v>0.71</v>
      </c>
      <c r="H30" s="44">
        <f t="shared" si="0"/>
        <v>0.89</v>
      </c>
      <c r="I30" s="44">
        <f t="shared" si="1"/>
        <v>2074.46</v>
      </c>
    </row>
    <row r="31" spans="1:11" ht="7.5" customHeight="1">
      <c r="A31" s="55"/>
      <c r="B31" s="46"/>
      <c r="C31" s="56"/>
      <c r="D31" s="57"/>
      <c r="E31" s="58"/>
      <c r="F31" s="58"/>
      <c r="G31" s="44"/>
      <c r="H31" s="44"/>
      <c r="I31" s="44"/>
    </row>
    <row r="32" spans="1:11">
      <c r="A32" s="62" t="s">
        <v>62</v>
      </c>
      <c r="B32" s="63"/>
      <c r="C32" s="63"/>
      <c r="D32" s="64" t="s">
        <v>135</v>
      </c>
      <c r="E32" s="62"/>
      <c r="F32" s="84"/>
      <c r="G32" s="65"/>
      <c r="H32" s="65"/>
      <c r="I32" s="65">
        <f>SUBTOTAL(9,I33:I35)</f>
        <v>3322.42</v>
      </c>
    </row>
    <row r="33" spans="1:9" ht="25.5">
      <c r="A33" s="66" t="s">
        <v>84</v>
      </c>
      <c r="B33" s="41" t="s">
        <v>115</v>
      </c>
      <c r="C33" s="56">
        <v>104796</v>
      </c>
      <c r="D33" s="57" t="s">
        <v>123</v>
      </c>
      <c r="E33" s="45" t="s">
        <v>73</v>
      </c>
      <c r="F33" s="58">
        <v>169.5</v>
      </c>
      <c r="G33" s="44">
        <v>15.23</v>
      </c>
      <c r="H33" s="44">
        <f>ROUND(G33*(1+$I$8),2)</f>
        <v>18.989999999999998</v>
      </c>
      <c r="I33" s="44">
        <f>ROUND(F33*H33,2)</f>
        <v>3218.81</v>
      </c>
    </row>
    <row r="34" spans="1:9" s="30" customFormat="1" ht="51">
      <c r="A34" s="66" t="s">
        <v>144</v>
      </c>
      <c r="B34" s="46" t="s">
        <v>115</v>
      </c>
      <c r="C34" s="56">
        <v>100974</v>
      </c>
      <c r="D34" s="57" t="s">
        <v>124</v>
      </c>
      <c r="E34" s="45" t="s">
        <v>7</v>
      </c>
      <c r="F34" s="58">
        <v>9</v>
      </c>
      <c r="G34" s="44">
        <v>8.84</v>
      </c>
      <c r="H34" s="44">
        <f>ROUND(G34*(1+$I$8),2)</f>
        <v>11.02</v>
      </c>
      <c r="I34" s="44">
        <f>ROUND(F34*H34,2)</f>
        <v>99.18</v>
      </c>
    </row>
    <row r="35" spans="1:9" s="30" customFormat="1" ht="25.5">
      <c r="A35" s="66" t="s">
        <v>85</v>
      </c>
      <c r="B35" s="46" t="s">
        <v>115</v>
      </c>
      <c r="C35" s="56">
        <v>95877</v>
      </c>
      <c r="D35" s="57" t="s">
        <v>125</v>
      </c>
      <c r="E35" s="45" t="s">
        <v>72</v>
      </c>
      <c r="F35" s="58">
        <v>1.9</v>
      </c>
      <c r="G35" s="44">
        <v>1.87</v>
      </c>
      <c r="H35" s="44">
        <f>ROUND(G35*(1+$I$8),2)</f>
        <v>2.33</v>
      </c>
      <c r="I35" s="44">
        <f>ROUND(F35*H35,2)</f>
        <v>4.43</v>
      </c>
    </row>
    <row r="36" spans="1:9" ht="7.5" customHeight="1">
      <c r="A36" s="45"/>
      <c r="B36" s="46"/>
      <c r="C36" s="46"/>
      <c r="D36" s="47"/>
      <c r="E36" s="45"/>
      <c r="F36" s="81"/>
      <c r="G36" s="49"/>
      <c r="H36" s="50"/>
      <c r="I36" s="67"/>
    </row>
    <row r="37" spans="1:9">
      <c r="A37" s="62" t="s">
        <v>71</v>
      </c>
      <c r="B37" s="63"/>
      <c r="C37" s="63"/>
      <c r="D37" s="64" t="s">
        <v>134</v>
      </c>
      <c r="E37" s="62"/>
      <c r="F37" s="84"/>
      <c r="G37" s="65"/>
      <c r="H37" s="65"/>
      <c r="I37" s="65">
        <f>SUBTOTAL(9,I38:I45)</f>
        <v>342328.38</v>
      </c>
    </row>
    <row r="38" spans="1:9" ht="51">
      <c r="A38" s="68" t="s">
        <v>129</v>
      </c>
      <c r="B38" s="41" t="s">
        <v>74</v>
      </c>
      <c r="C38" s="41" t="s">
        <v>75</v>
      </c>
      <c r="D38" s="69" t="s">
        <v>131</v>
      </c>
      <c r="E38" s="58" t="s">
        <v>73</v>
      </c>
      <c r="F38" s="58">
        <v>108.17</v>
      </c>
      <c r="G38" s="44">
        <v>179.75</v>
      </c>
      <c r="H38" s="44">
        <f t="shared" ref="H38:H45" si="2">ROUND(G38*(1+$I$8),2)</f>
        <v>224.09</v>
      </c>
      <c r="I38" s="44">
        <f t="shared" ref="I38:I45" si="3">ROUND(F38*H38,2)</f>
        <v>24239.82</v>
      </c>
    </row>
    <row r="39" spans="1:9" ht="63.75">
      <c r="A39" s="68" t="s">
        <v>130</v>
      </c>
      <c r="B39" s="41" t="s">
        <v>74</v>
      </c>
      <c r="C39" s="41" t="s">
        <v>77</v>
      </c>
      <c r="D39" s="69" t="s">
        <v>177</v>
      </c>
      <c r="E39" s="58" t="s">
        <v>73</v>
      </c>
      <c r="F39" s="58">
        <v>40.61</v>
      </c>
      <c r="G39" s="44">
        <v>198.04</v>
      </c>
      <c r="H39" s="44">
        <f t="shared" si="2"/>
        <v>246.9</v>
      </c>
      <c r="I39" s="44">
        <f t="shared" si="3"/>
        <v>10026.61</v>
      </c>
    </row>
    <row r="40" spans="1:9" ht="51">
      <c r="A40" s="66" t="s">
        <v>86</v>
      </c>
      <c r="B40" s="41" t="s">
        <v>102</v>
      </c>
      <c r="C40" s="46" t="s">
        <v>133</v>
      </c>
      <c r="D40" s="70" t="s">
        <v>132</v>
      </c>
      <c r="E40" s="58" t="s">
        <v>73</v>
      </c>
      <c r="F40" s="58">
        <v>122.64</v>
      </c>
      <c r="G40" s="44">
        <v>53.55</v>
      </c>
      <c r="H40" s="44">
        <f t="shared" si="2"/>
        <v>66.760000000000005</v>
      </c>
      <c r="I40" s="44">
        <f t="shared" si="3"/>
        <v>8187.45</v>
      </c>
    </row>
    <row r="41" spans="1:9" ht="51">
      <c r="A41" s="66" t="s">
        <v>87</v>
      </c>
      <c r="B41" s="41" t="s">
        <v>115</v>
      </c>
      <c r="C41" s="46">
        <v>94273</v>
      </c>
      <c r="D41" s="71" t="s">
        <v>187</v>
      </c>
      <c r="E41" s="58" t="s">
        <v>73</v>
      </c>
      <c r="F41" s="58">
        <v>457.68</v>
      </c>
      <c r="G41" s="44">
        <v>64.36</v>
      </c>
      <c r="H41" s="44">
        <f t="shared" si="2"/>
        <v>80.239999999999995</v>
      </c>
      <c r="I41" s="44">
        <f t="shared" si="3"/>
        <v>36724.239999999998</v>
      </c>
    </row>
    <row r="42" spans="1:9" ht="25.5">
      <c r="A42" s="66" t="s">
        <v>145</v>
      </c>
      <c r="B42" s="41" t="s">
        <v>115</v>
      </c>
      <c r="C42" s="46">
        <v>93681</v>
      </c>
      <c r="D42" s="70" t="s">
        <v>136</v>
      </c>
      <c r="E42" s="58" t="s">
        <v>6</v>
      </c>
      <c r="F42" s="58">
        <v>178.18</v>
      </c>
      <c r="G42" s="44">
        <v>115.1</v>
      </c>
      <c r="H42" s="44">
        <f t="shared" si="2"/>
        <v>143.5</v>
      </c>
      <c r="I42" s="44">
        <f t="shared" si="3"/>
        <v>25568.83</v>
      </c>
    </row>
    <row r="43" spans="1:9" ht="38.25">
      <c r="A43" s="66" t="s">
        <v>146</v>
      </c>
      <c r="B43" s="41" t="s">
        <v>115</v>
      </c>
      <c r="C43" s="46">
        <v>92398</v>
      </c>
      <c r="D43" s="86" t="s">
        <v>137</v>
      </c>
      <c r="E43" s="58" t="s">
        <v>6</v>
      </c>
      <c r="F43" s="58">
        <v>1854.63</v>
      </c>
      <c r="G43" s="44">
        <v>92.56</v>
      </c>
      <c r="H43" s="44">
        <f t="shared" si="2"/>
        <v>115.39</v>
      </c>
      <c r="I43" s="44">
        <f t="shared" si="3"/>
        <v>214005.76000000001</v>
      </c>
    </row>
    <row r="44" spans="1:9" ht="51">
      <c r="A44" s="66" t="s">
        <v>147</v>
      </c>
      <c r="B44" s="41" t="s">
        <v>128</v>
      </c>
      <c r="C44" s="41" t="s">
        <v>127</v>
      </c>
      <c r="D44" s="69" t="s">
        <v>126</v>
      </c>
      <c r="E44" s="58" t="s">
        <v>6</v>
      </c>
      <c r="F44" s="58">
        <v>3.36</v>
      </c>
      <c r="G44" s="44">
        <v>630.91</v>
      </c>
      <c r="H44" s="44">
        <f t="shared" si="2"/>
        <v>786.56</v>
      </c>
      <c r="I44" s="44">
        <f t="shared" si="3"/>
        <v>2642.84</v>
      </c>
    </row>
    <row r="45" spans="1:9" ht="51">
      <c r="A45" s="68" t="s">
        <v>148</v>
      </c>
      <c r="B45" s="41" t="s">
        <v>163</v>
      </c>
      <c r="C45" s="41">
        <v>13778</v>
      </c>
      <c r="D45" s="69" t="s">
        <v>179</v>
      </c>
      <c r="E45" s="58" t="s">
        <v>73</v>
      </c>
      <c r="F45" s="58">
        <v>40.61</v>
      </c>
      <c r="G45" s="44">
        <v>413.46</v>
      </c>
      <c r="H45" s="44">
        <f t="shared" si="2"/>
        <v>515.46</v>
      </c>
      <c r="I45" s="44">
        <f t="shared" si="3"/>
        <v>20932.830000000002</v>
      </c>
    </row>
    <row r="46" spans="1:9" ht="9" customHeight="1">
      <c r="A46" s="45"/>
      <c r="B46" s="46"/>
      <c r="C46" s="46"/>
      <c r="D46" s="47"/>
      <c r="E46" s="45"/>
      <c r="F46" s="81"/>
      <c r="G46" s="49"/>
      <c r="H46" s="59"/>
      <c r="I46" s="44"/>
    </row>
    <row r="47" spans="1:9">
      <c r="A47" s="52">
        <v>5</v>
      </c>
      <c r="B47" s="36"/>
      <c r="C47" s="36"/>
      <c r="D47" s="60" t="s">
        <v>211</v>
      </c>
      <c r="E47" s="52"/>
      <c r="F47" s="82"/>
      <c r="G47" s="53"/>
      <c r="H47" s="54"/>
      <c r="I47" s="39">
        <f>I48+I56+I62</f>
        <v>115287.38</v>
      </c>
    </row>
    <row r="48" spans="1:9">
      <c r="A48" s="62" t="s">
        <v>78</v>
      </c>
      <c r="B48" s="63"/>
      <c r="C48" s="63"/>
      <c r="D48" s="64" t="s">
        <v>153</v>
      </c>
      <c r="E48" s="62"/>
      <c r="F48" s="84"/>
      <c r="G48" s="65"/>
      <c r="H48" s="65"/>
      <c r="I48" s="65">
        <f>SUBTOTAL(9,I49:I54)</f>
        <v>101841</v>
      </c>
    </row>
    <row r="49" spans="1:9" ht="52.5" customHeight="1">
      <c r="A49" s="55" t="s">
        <v>138</v>
      </c>
      <c r="B49" s="41" t="s">
        <v>102</v>
      </c>
      <c r="C49" s="56" t="s">
        <v>104</v>
      </c>
      <c r="D49" s="57" t="s">
        <v>105</v>
      </c>
      <c r="E49" s="58" t="s">
        <v>70</v>
      </c>
      <c r="F49" s="58">
        <v>26</v>
      </c>
      <c r="G49" s="44">
        <v>218.49</v>
      </c>
      <c r="H49" s="44">
        <f t="shared" ref="H49:H54" si="4">ROUND(G49*(1+$I$8),2)</f>
        <v>272.39</v>
      </c>
      <c r="I49" s="44">
        <f t="shared" ref="I49:I54" si="5">ROUND(F49*H49,2)</f>
        <v>7082.14</v>
      </c>
    </row>
    <row r="50" spans="1:9" ht="51">
      <c r="A50" s="55" t="s">
        <v>139</v>
      </c>
      <c r="B50" s="41" t="s">
        <v>163</v>
      </c>
      <c r="C50" s="56">
        <v>13202</v>
      </c>
      <c r="D50" s="57" t="s">
        <v>184</v>
      </c>
      <c r="E50" s="58" t="s">
        <v>70</v>
      </c>
      <c r="F50" s="58">
        <v>25</v>
      </c>
      <c r="G50" s="44">
        <v>2575.2800000000002</v>
      </c>
      <c r="H50" s="44">
        <f t="shared" si="4"/>
        <v>3210.6</v>
      </c>
      <c r="I50" s="44">
        <f t="shared" si="5"/>
        <v>80265</v>
      </c>
    </row>
    <row r="51" spans="1:9" ht="26.25" customHeight="1">
      <c r="A51" s="55" t="s">
        <v>140</v>
      </c>
      <c r="B51" s="41" t="s">
        <v>102</v>
      </c>
      <c r="C51" s="56" t="s">
        <v>100</v>
      </c>
      <c r="D51" s="57" t="s">
        <v>99</v>
      </c>
      <c r="E51" s="58" t="s">
        <v>61</v>
      </c>
      <c r="F51" s="58">
        <v>18.59</v>
      </c>
      <c r="G51" s="44">
        <v>77.290000000000006</v>
      </c>
      <c r="H51" s="44">
        <f t="shared" si="4"/>
        <v>96.36</v>
      </c>
      <c r="I51" s="44">
        <f t="shared" si="5"/>
        <v>1791.33</v>
      </c>
    </row>
    <row r="52" spans="1:9" ht="38.25">
      <c r="A52" s="55" t="s">
        <v>141</v>
      </c>
      <c r="B52" s="41" t="s">
        <v>102</v>
      </c>
      <c r="C52" s="56" t="s">
        <v>101</v>
      </c>
      <c r="D52" s="57" t="s">
        <v>103</v>
      </c>
      <c r="E52" s="58" t="s">
        <v>7</v>
      </c>
      <c r="F52" s="58">
        <v>18.59</v>
      </c>
      <c r="G52" s="44">
        <v>48.38</v>
      </c>
      <c r="H52" s="44">
        <f t="shared" si="4"/>
        <v>60.32</v>
      </c>
      <c r="I52" s="44">
        <f t="shared" si="5"/>
        <v>1121.3499999999999</v>
      </c>
    </row>
    <row r="53" spans="1:9" ht="38.25">
      <c r="A53" s="55" t="s">
        <v>142</v>
      </c>
      <c r="B53" s="41" t="s">
        <v>74</v>
      </c>
      <c r="C53" s="56" t="s">
        <v>176</v>
      </c>
      <c r="D53" s="57" t="s">
        <v>107</v>
      </c>
      <c r="E53" s="58" t="s">
        <v>73</v>
      </c>
      <c r="F53" s="58">
        <v>309.74</v>
      </c>
      <c r="G53" s="44">
        <v>5.22</v>
      </c>
      <c r="H53" s="44">
        <f t="shared" si="4"/>
        <v>6.51</v>
      </c>
      <c r="I53" s="44">
        <f t="shared" si="5"/>
        <v>2016.41</v>
      </c>
    </row>
    <row r="54" spans="1:9" ht="38.25">
      <c r="A54" s="55" t="s">
        <v>143</v>
      </c>
      <c r="B54" s="41" t="s">
        <v>74</v>
      </c>
      <c r="C54" s="56" t="s">
        <v>178</v>
      </c>
      <c r="D54" s="57" t="s">
        <v>108</v>
      </c>
      <c r="E54" s="58" t="s">
        <v>73</v>
      </c>
      <c r="F54" s="58">
        <v>309.74</v>
      </c>
      <c r="G54" s="44">
        <v>24.77</v>
      </c>
      <c r="H54" s="44">
        <f t="shared" si="4"/>
        <v>30.88</v>
      </c>
      <c r="I54" s="44">
        <f t="shared" si="5"/>
        <v>9564.77</v>
      </c>
    </row>
    <row r="55" spans="1:9">
      <c r="A55" s="55"/>
      <c r="B55" s="41"/>
      <c r="C55" s="56"/>
      <c r="D55" s="57"/>
      <c r="E55" s="58"/>
      <c r="F55" s="58"/>
      <c r="G55" s="44"/>
      <c r="H55" s="44"/>
      <c r="I55" s="44"/>
    </row>
    <row r="56" spans="1:9">
      <c r="A56" s="62" t="s">
        <v>88</v>
      </c>
      <c r="B56" s="63"/>
      <c r="C56" s="63"/>
      <c r="D56" s="64" t="s">
        <v>154</v>
      </c>
      <c r="E56" s="62"/>
      <c r="F56" s="84"/>
      <c r="G56" s="65"/>
      <c r="H56" s="65"/>
      <c r="I56" s="65">
        <f>SUBTOTAL(9,I57:I60)</f>
        <v>783.95</v>
      </c>
    </row>
    <row r="57" spans="1:9" ht="63.75">
      <c r="A57" s="55" t="s">
        <v>150</v>
      </c>
      <c r="B57" s="41" t="s">
        <v>102</v>
      </c>
      <c r="C57" s="56" t="s">
        <v>104</v>
      </c>
      <c r="D57" s="57" t="s">
        <v>105</v>
      </c>
      <c r="E57" s="58" t="s">
        <v>70</v>
      </c>
      <c r="F57" s="58">
        <v>1</v>
      </c>
      <c r="G57" s="44">
        <v>218.49</v>
      </c>
      <c r="H57" s="44">
        <f>ROUND(G57*(1+$I$8),2)</f>
        <v>272.39</v>
      </c>
      <c r="I57" s="44">
        <f>ROUND(F57*H57,2)</f>
        <v>272.39</v>
      </c>
    </row>
    <row r="58" spans="1:9" ht="25.5">
      <c r="A58" s="55" t="s">
        <v>149</v>
      </c>
      <c r="B58" s="41" t="s">
        <v>102</v>
      </c>
      <c r="C58" s="56" t="s">
        <v>100</v>
      </c>
      <c r="D58" s="57" t="s">
        <v>99</v>
      </c>
      <c r="E58" s="58" t="s">
        <v>61</v>
      </c>
      <c r="F58" s="58">
        <v>1.93</v>
      </c>
      <c r="G58" s="44">
        <v>77.290000000000006</v>
      </c>
      <c r="H58" s="44">
        <f>ROUND(G58*(1+$I$8),2)</f>
        <v>96.36</v>
      </c>
      <c r="I58" s="44">
        <f>ROUND(F58*H58,2)</f>
        <v>185.97</v>
      </c>
    </row>
    <row r="59" spans="1:9" ht="38.25">
      <c r="A59" s="55" t="s">
        <v>151</v>
      </c>
      <c r="B59" s="41" t="s">
        <v>102</v>
      </c>
      <c r="C59" s="56" t="s">
        <v>101</v>
      </c>
      <c r="D59" s="57" t="s">
        <v>103</v>
      </c>
      <c r="E59" s="58" t="s">
        <v>7</v>
      </c>
      <c r="F59" s="58">
        <v>1.93</v>
      </c>
      <c r="G59" s="44">
        <v>48.38</v>
      </c>
      <c r="H59" s="44">
        <f>ROUND(G59*(1+$I$8),2)</f>
        <v>60.32</v>
      </c>
      <c r="I59" s="44">
        <f>ROUND(F59*H59,2)</f>
        <v>116.42</v>
      </c>
    </row>
    <row r="60" spans="1:9" ht="38.25">
      <c r="A60" s="55" t="s">
        <v>152</v>
      </c>
      <c r="B60" s="41" t="s">
        <v>74</v>
      </c>
      <c r="C60" s="56" t="s">
        <v>176</v>
      </c>
      <c r="D60" s="57" t="s">
        <v>107</v>
      </c>
      <c r="E60" s="58" t="s">
        <v>73</v>
      </c>
      <c r="F60" s="58">
        <v>32.130000000000003</v>
      </c>
      <c r="G60" s="44">
        <v>5.22</v>
      </c>
      <c r="H60" s="44">
        <f>ROUND(G60*(1+$I$8),2)</f>
        <v>6.51</v>
      </c>
      <c r="I60" s="44">
        <f>ROUND(F60*H60,2)</f>
        <v>209.17</v>
      </c>
    </row>
    <row r="61" spans="1:9">
      <c r="A61" s="55"/>
      <c r="B61" s="41"/>
      <c r="C61" s="56"/>
      <c r="D61" s="57"/>
      <c r="E61" s="58"/>
      <c r="F61" s="58"/>
      <c r="G61" s="44"/>
      <c r="H61" s="44"/>
      <c r="I61" s="44"/>
    </row>
    <row r="62" spans="1:9">
      <c r="A62" s="62" t="s">
        <v>182</v>
      </c>
      <c r="B62" s="63"/>
      <c r="C62" s="63"/>
      <c r="D62" s="64" t="s">
        <v>183</v>
      </c>
      <c r="E62" s="62"/>
      <c r="F62" s="84"/>
      <c r="G62" s="65"/>
      <c r="H62" s="65"/>
      <c r="I62" s="65">
        <f>SUBTOTAL(9,I63:I66)</f>
        <v>12662.43</v>
      </c>
    </row>
    <row r="63" spans="1:9" ht="25.5">
      <c r="A63" s="55" t="s">
        <v>188</v>
      </c>
      <c r="B63" s="41" t="s">
        <v>102</v>
      </c>
      <c r="C63" s="56" t="s">
        <v>100</v>
      </c>
      <c r="D63" s="57" t="s">
        <v>99</v>
      </c>
      <c r="E63" s="58" t="s">
        <v>61</v>
      </c>
      <c r="F63" s="58">
        <v>32.130000000000003</v>
      </c>
      <c r="G63" s="44">
        <v>77.290000000000006</v>
      </c>
      <c r="H63" s="44">
        <f>ROUND(G63*(1+$I$8),2)</f>
        <v>96.36</v>
      </c>
      <c r="I63" s="44">
        <f>ROUND(F63*H63,2)</f>
        <v>3096.05</v>
      </c>
    </row>
    <row r="64" spans="1:9" ht="25.5">
      <c r="A64" s="55" t="s">
        <v>189</v>
      </c>
      <c r="B64" s="41" t="s">
        <v>102</v>
      </c>
      <c r="C64" s="56" t="s">
        <v>186</v>
      </c>
      <c r="D64" s="57" t="s">
        <v>185</v>
      </c>
      <c r="E64" s="58" t="s">
        <v>73</v>
      </c>
      <c r="F64" s="58">
        <v>32.130000000000003</v>
      </c>
      <c r="G64" s="44">
        <v>22.65</v>
      </c>
      <c r="H64" s="44">
        <f>ROUND(G64*(1+$I$8),2)</f>
        <v>28.24</v>
      </c>
      <c r="I64" s="44">
        <f>ROUND(F64*H64,2)</f>
        <v>907.35</v>
      </c>
    </row>
    <row r="65" spans="1:9" ht="25.5">
      <c r="A65" s="55" t="s">
        <v>190</v>
      </c>
      <c r="B65" s="41" t="s">
        <v>74</v>
      </c>
      <c r="C65" s="56" t="s">
        <v>180</v>
      </c>
      <c r="D65" s="57" t="s">
        <v>209</v>
      </c>
      <c r="E65" s="58" t="s">
        <v>70</v>
      </c>
      <c r="F65" s="58">
        <v>32.130000000000003</v>
      </c>
      <c r="G65" s="44">
        <v>167.79</v>
      </c>
      <c r="H65" s="44">
        <f>ROUND(G65*(1+$I$8),2)</f>
        <v>209.18</v>
      </c>
      <c r="I65" s="44">
        <f>ROUND(F65*H65,2)</f>
        <v>6720.95</v>
      </c>
    </row>
    <row r="66" spans="1:9" ht="38.25">
      <c r="A66" s="55" t="s">
        <v>191</v>
      </c>
      <c r="B66" s="41" t="s">
        <v>102</v>
      </c>
      <c r="C66" s="56" t="s">
        <v>101</v>
      </c>
      <c r="D66" s="57" t="s">
        <v>103</v>
      </c>
      <c r="E66" s="58" t="s">
        <v>7</v>
      </c>
      <c r="F66" s="58">
        <v>32.130000000000003</v>
      </c>
      <c r="G66" s="44">
        <v>48.38</v>
      </c>
      <c r="H66" s="44">
        <f>ROUND(G66*(1+$I$8),2)</f>
        <v>60.32</v>
      </c>
      <c r="I66" s="44">
        <f>ROUND(F66*H66,2)</f>
        <v>1938.08</v>
      </c>
    </row>
    <row r="67" spans="1:9">
      <c r="A67" s="55"/>
      <c r="B67" s="41"/>
      <c r="C67" s="56"/>
      <c r="D67" s="57"/>
      <c r="E67" s="58"/>
      <c r="F67" s="58"/>
      <c r="G67" s="44"/>
      <c r="H67" s="44"/>
      <c r="I67" s="44"/>
    </row>
    <row r="68" spans="1:9">
      <c r="A68" s="52">
        <v>6</v>
      </c>
      <c r="B68" s="36"/>
      <c r="C68" s="36"/>
      <c r="D68" s="60" t="s">
        <v>181</v>
      </c>
      <c r="E68" s="52"/>
      <c r="F68" s="82"/>
      <c r="G68" s="53"/>
      <c r="H68" s="54"/>
      <c r="I68" s="39">
        <f>SUBTOTAL(9,I69:I72)</f>
        <v>8213.4699999999993</v>
      </c>
    </row>
    <row r="69" spans="1:9" ht="25.5">
      <c r="A69" s="68" t="s">
        <v>96</v>
      </c>
      <c r="B69" s="41" t="s">
        <v>115</v>
      </c>
      <c r="C69" s="56">
        <v>103946</v>
      </c>
      <c r="D69" s="57" t="s">
        <v>168</v>
      </c>
      <c r="E69" s="58" t="s">
        <v>6</v>
      </c>
      <c r="F69" s="58">
        <v>298.04000000000002</v>
      </c>
      <c r="G69" s="44">
        <v>16.11</v>
      </c>
      <c r="H69" s="44">
        <f>ROUND(G69*(1+$I$8),2)</f>
        <v>20.079999999999998</v>
      </c>
      <c r="I69" s="44">
        <f>ROUND(F69*H69,2)</f>
        <v>5984.64</v>
      </c>
    </row>
    <row r="70" spans="1:9">
      <c r="A70" s="68" t="s">
        <v>97</v>
      </c>
      <c r="B70" s="20" t="s">
        <v>155</v>
      </c>
      <c r="C70" s="56" t="s">
        <v>156</v>
      </c>
      <c r="D70" s="57" t="s">
        <v>157</v>
      </c>
      <c r="E70" s="58" t="s">
        <v>70</v>
      </c>
      <c r="F70" s="58">
        <v>13</v>
      </c>
      <c r="G70" s="44">
        <v>54.12</v>
      </c>
      <c r="H70" s="44">
        <f>ROUND(G70*(1+$I$8),2)</f>
        <v>67.47</v>
      </c>
      <c r="I70" s="44">
        <f>ROUND(F70*H70,2)</f>
        <v>877.11</v>
      </c>
    </row>
    <row r="71" spans="1:9">
      <c r="A71" s="68" t="s">
        <v>98</v>
      </c>
      <c r="B71" s="41" t="s">
        <v>74</v>
      </c>
      <c r="C71" s="56" t="s">
        <v>204</v>
      </c>
      <c r="D71" s="57" t="s">
        <v>206</v>
      </c>
      <c r="E71" s="58" t="s">
        <v>70</v>
      </c>
      <c r="F71" s="58">
        <v>19</v>
      </c>
      <c r="G71" s="44">
        <v>53.86</v>
      </c>
      <c r="H71" s="44">
        <f>ROUND(G71*(1+$I$8),2)</f>
        <v>67.150000000000006</v>
      </c>
      <c r="I71" s="44">
        <f>ROUND(F71*H71,2)</f>
        <v>1275.8499999999999</v>
      </c>
    </row>
    <row r="72" spans="1:9">
      <c r="A72" s="68" t="s">
        <v>109</v>
      </c>
      <c r="B72" s="20" t="s">
        <v>155</v>
      </c>
      <c r="C72" s="56" t="s">
        <v>159</v>
      </c>
      <c r="D72" s="57" t="s">
        <v>158</v>
      </c>
      <c r="E72" s="58" t="s">
        <v>70</v>
      </c>
      <c r="F72" s="58">
        <v>1</v>
      </c>
      <c r="G72" s="44">
        <v>60.86</v>
      </c>
      <c r="H72" s="44">
        <f>ROUND(G72*(1+$I$8),2)</f>
        <v>75.87</v>
      </c>
      <c r="I72" s="44">
        <f>ROUND(F72*H72,2)</f>
        <v>75.87</v>
      </c>
    </row>
    <row r="73" spans="1:9" ht="7.5" customHeight="1">
      <c r="A73" s="55"/>
      <c r="B73" s="41"/>
      <c r="C73" s="56"/>
      <c r="D73" s="57"/>
      <c r="E73" s="58"/>
      <c r="F73" s="58"/>
      <c r="G73" s="44"/>
      <c r="H73" s="44"/>
      <c r="I73" s="44"/>
    </row>
    <row r="74" spans="1:9">
      <c r="A74" s="52">
        <v>7</v>
      </c>
      <c r="B74" s="36"/>
      <c r="C74" s="36"/>
      <c r="D74" s="60" t="s">
        <v>210</v>
      </c>
      <c r="E74" s="52"/>
      <c r="F74" s="82"/>
      <c r="G74" s="53"/>
      <c r="H74" s="54"/>
      <c r="I74" s="39">
        <f>SUBTOTAL(9,I75:I84)</f>
        <v>97562.68</v>
      </c>
    </row>
    <row r="75" spans="1:9" ht="25.5">
      <c r="A75" s="68" t="s">
        <v>192</v>
      </c>
      <c r="B75" s="41" t="s">
        <v>164</v>
      </c>
      <c r="C75" s="56" t="s">
        <v>165</v>
      </c>
      <c r="D75" s="57" t="s">
        <v>171</v>
      </c>
      <c r="E75" s="58" t="s">
        <v>70</v>
      </c>
      <c r="F75" s="58">
        <v>10</v>
      </c>
      <c r="G75" s="44">
        <v>725.71</v>
      </c>
      <c r="H75" s="44">
        <f t="shared" ref="H75:H84" si="6">ROUND(G75*(1+$I$8),2)</f>
        <v>904.74</v>
      </c>
      <c r="I75" s="44">
        <f t="shared" ref="I75:I84" si="7">ROUND(F75*H75,2)</f>
        <v>9047.4</v>
      </c>
    </row>
    <row r="76" spans="1:9" ht="51">
      <c r="A76" s="68" t="s">
        <v>193</v>
      </c>
      <c r="B76" s="41" t="s">
        <v>170</v>
      </c>
      <c r="C76" s="56" t="s">
        <v>169</v>
      </c>
      <c r="D76" s="57" t="s">
        <v>172</v>
      </c>
      <c r="E76" s="58" t="s">
        <v>70</v>
      </c>
      <c r="F76" s="58">
        <v>24</v>
      </c>
      <c r="G76" s="44">
        <v>580.64</v>
      </c>
      <c r="H76" s="44">
        <f t="shared" si="6"/>
        <v>723.88</v>
      </c>
      <c r="I76" s="44">
        <f t="shared" si="7"/>
        <v>17373.12</v>
      </c>
    </row>
    <row r="77" spans="1:9" ht="25.5">
      <c r="A77" s="68" t="s">
        <v>194</v>
      </c>
      <c r="B77" s="41" t="s">
        <v>163</v>
      </c>
      <c r="C77" s="56">
        <v>2411</v>
      </c>
      <c r="D77" s="57" t="s">
        <v>173</v>
      </c>
      <c r="E77" s="58" t="s">
        <v>70</v>
      </c>
      <c r="F77" s="58">
        <v>23</v>
      </c>
      <c r="G77" s="44">
        <v>1100</v>
      </c>
      <c r="H77" s="44">
        <f t="shared" si="6"/>
        <v>1371.37</v>
      </c>
      <c r="I77" s="44">
        <f t="shared" si="7"/>
        <v>31541.51</v>
      </c>
    </row>
    <row r="78" spans="1:9" ht="51">
      <c r="A78" s="68" t="s">
        <v>195</v>
      </c>
      <c r="B78" s="41" t="s">
        <v>161</v>
      </c>
      <c r="C78" s="56" t="s">
        <v>162</v>
      </c>
      <c r="D78" s="57" t="s">
        <v>160</v>
      </c>
      <c r="E78" s="58" t="s">
        <v>70</v>
      </c>
      <c r="F78" s="58">
        <v>4</v>
      </c>
      <c r="G78" s="44">
        <v>1932.28</v>
      </c>
      <c r="H78" s="44">
        <f t="shared" si="6"/>
        <v>2408.9699999999998</v>
      </c>
      <c r="I78" s="44">
        <f t="shared" si="7"/>
        <v>9635.8799999999992</v>
      </c>
    </row>
    <row r="79" spans="1:9" ht="38.25">
      <c r="A79" s="68" t="s">
        <v>196</v>
      </c>
      <c r="B79" s="41" t="s">
        <v>74</v>
      </c>
      <c r="C79" s="56" t="s">
        <v>90</v>
      </c>
      <c r="D79" s="57" t="s">
        <v>203</v>
      </c>
      <c r="E79" s="58" t="s">
        <v>70</v>
      </c>
      <c r="F79" s="58">
        <v>6</v>
      </c>
      <c r="G79" s="44">
        <v>224.27</v>
      </c>
      <c r="H79" s="44">
        <f t="shared" si="6"/>
        <v>279.60000000000002</v>
      </c>
      <c r="I79" s="44">
        <f t="shared" si="7"/>
        <v>1677.6</v>
      </c>
    </row>
    <row r="80" spans="1:9" ht="63.75">
      <c r="A80" s="68" t="s">
        <v>197</v>
      </c>
      <c r="B80" s="41" t="s">
        <v>74</v>
      </c>
      <c r="C80" s="56" t="s">
        <v>91</v>
      </c>
      <c r="D80" s="57" t="s">
        <v>174</v>
      </c>
      <c r="E80" s="58" t="s">
        <v>70</v>
      </c>
      <c r="F80" s="58">
        <v>1</v>
      </c>
      <c r="G80" s="44">
        <v>4036.95</v>
      </c>
      <c r="H80" s="44">
        <f t="shared" si="6"/>
        <v>5032.87</v>
      </c>
      <c r="I80" s="44">
        <f t="shared" si="7"/>
        <v>5032.87</v>
      </c>
    </row>
    <row r="81" spans="1:9" ht="89.25">
      <c r="A81" s="68" t="s">
        <v>198</v>
      </c>
      <c r="B81" s="41" t="s">
        <v>74</v>
      </c>
      <c r="C81" s="56" t="s">
        <v>92</v>
      </c>
      <c r="D81" s="57" t="s">
        <v>175</v>
      </c>
      <c r="E81" s="58" t="s">
        <v>70</v>
      </c>
      <c r="F81" s="58">
        <v>1</v>
      </c>
      <c r="G81" s="44">
        <v>5138.09</v>
      </c>
      <c r="H81" s="44">
        <f t="shared" si="6"/>
        <v>6405.66</v>
      </c>
      <c r="I81" s="44">
        <f t="shared" si="7"/>
        <v>6405.66</v>
      </c>
    </row>
    <row r="82" spans="1:9" ht="25.5">
      <c r="A82" s="68" t="s">
        <v>199</v>
      </c>
      <c r="B82" s="41" t="s">
        <v>167</v>
      </c>
      <c r="C82" s="56">
        <v>18014041</v>
      </c>
      <c r="D82" s="57" t="s">
        <v>166</v>
      </c>
      <c r="E82" s="58" t="s">
        <v>70</v>
      </c>
      <c r="F82" s="58">
        <v>1</v>
      </c>
      <c r="G82" s="44">
        <v>8454.15</v>
      </c>
      <c r="H82" s="44">
        <f t="shared" si="6"/>
        <v>10539.79</v>
      </c>
      <c r="I82" s="44">
        <f t="shared" si="7"/>
        <v>10539.79</v>
      </c>
    </row>
    <row r="83" spans="1:9" ht="63.75">
      <c r="A83" s="68" t="s">
        <v>200</v>
      </c>
      <c r="B83" s="41" t="s">
        <v>74</v>
      </c>
      <c r="C83" s="56" t="s">
        <v>241</v>
      </c>
      <c r="D83" s="57" t="s">
        <v>208</v>
      </c>
      <c r="E83" s="58" t="s">
        <v>73</v>
      </c>
      <c r="F83" s="58">
        <v>1</v>
      </c>
      <c r="G83" s="44">
        <v>3486.76</v>
      </c>
      <c r="H83" s="44">
        <f t="shared" si="6"/>
        <v>4346.9399999999996</v>
      </c>
      <c r="I83" s="44">
        <f t="shared" si="7"/>
        <v>4346.9399999999996</v>
      </c>
    </row>
    <row r="84" spans="1:9" ht="78.75" customHeight="1">
      <c r="A84" s="68" t="s">
        <v>201</v>
      </c>
      <c r="B84" s="41" t="s">
        <v>74</v>
      </c>
      <c r="C84" s="56" t="s">
        <v>202</v>
      </c>
      <c r="D84" s="57" t="s">
        <v>205</v>
      </c>
      <c r="E84" s="58" t="s">
        <v>70</v>
      </c>
      <c r="F84" s="58">
        <v>1</v>
      </c>
      <c r="G84" s="44">
        <v>1573.68</v>
      </c>
      <c r="H84" s="44">
        <f t="shared" si="6"/>
        <v>1961.91</v>
      </c>
      <c r="I84" s="44">
        <f t="shared" si="7"/>
        <v>1961.91</v>
      </c>
    </row>
    <row r="85" spans="1:9">
      <c r="A85" s="55"/>
      <c r="B85" s="41"/>
      <c r="C85" s="56"/>
      <c r="D85" s="57"/>
      <c r="E85" s="58"/>
      <c r="F85" s="58"/>
      <c r="G85" s="44"/>
      <c r="H85" s="44"/>
      <c r="I85" s="44"/>
    </row>
    <row r="86" spans="1:9">
      <c r="A86" s="52">
        <v>8</v>
      </c>
      <c r="B86" s="36"/>
      <c r="C86" s="36"/>
      <c r="D86" s="60" t="s">
        <v>217</v>
      </c>
      <c r="E86" s="52"/>
      <c r="F86" s="82"/>
      <c r="G86" s="53"/>
      <c r="H86" s="54"/>
      <c r="I86" s="39">
        <f>SUBTOTAL(9,I87:I92)</f>
        <v>18279.62</v>
      </c>
    </row>
    <row r="87" spans="1:9" ht="25.5">
      <c r="A87" s="55" t="s">
        <v>213</v>
      </c>
      <c r="B87" s="41" t="s">
        <v>102</v>
      </c>
      <c r="C87" s="56" t="s">
        <v>100</v>
      </c>
      <c r="D87" s="57" t="s">
        <v>99</v>
      </c>
      <c r="E87" s="58" t="s">
        <v>61</v>
      </c>
      <c r="F87" s="58">
        <v>28.99</v>
      </c>
      <c r="G87" s="44">
        <v>77.290000000000006</v>
      </c>
      <c r="H87" s="44">
        <f t="shared" ref="H87:H92" si="8">ROUND(G87*(1+$I$8),2)</f>
        <v>96.36</v>
      </c>
      <c r="I87" s="44">
        <f t="shared" ref="I87:I92" si="9">ROUND(F87*H87,2)</f>
        <v>2793.48</v>
      </c>
    </row>
    <row r="88" spans="1:9" ht="38.25">
      <c r="A88" s="55" t="s">
        <v>214</v>
      </c>
      <c r="B88" s="41" t="s">
        <v>115</v>
      </c>
      <c r="C88" s="56">
        <v>102713</v>
      </c>
      <c r="D88" s="57" t="s">
        <v>220</v>
      </c>
      <c r="E88" s="58" t="s">
        <v>6</v>
      </c>
      <c r="F88" s="58">
        <v>119.74</v>
      </c>
      <c r="G88" s="44">
        <v>11.35</v>
      </c>
      <c r="H88" s="44">
        <f t="shared" si="8"/>
        <v>14.15</v>
      </c>
      <c r="I88" s="44">
        <f t="shared" si="9"/>
        <v>1694.32</v>
      </c>
    </row>
    <row r="89" spans="1:9" ht="25.5">
      <c r="A89" s="55" t="s">
        <v>215</v>
      </c>
      <c r="B89" s="41" t="s">
        <v>102</v>
      </c>
      <c r="C89" s="56" t="s">
        <v>219</v>
      </c>
      <c r="D89" s="57" t="s">
        <v>218</v>
      </c>
      <c r="E89" s="58" t="s">
        <v>61</v>
      </c>
      <c r="F89" s="58">
        <v>28.99</v>
      </c>
      <c r="G89" s="44">
        <v>263.57</v>
      </c>
      <c r="H89" s="44">
        <f t="shared" si="8"/>
        <v>328.59</v>
      </c>
      <c r="I89" s="44">
        <f t="shared" si="9"/>
        <v>9525.82</v>
      </c>
    </row>
    <row r="90" spans="1:9" ht="38.25">
      <c r="A90" s="55" t="s">
        <v>216</v>
      </c>
      <c r="B90" s="41" t="s">
        <v>115</v>
      </c>
      <c r="C90" s="56">
        <v>102666</v>
      </c>
      <c r="D90" s="57" t="s">
        <v>222</v>
      </c>
      <c r="E90" s="58" t="s">
        <v>73</v>
      </c>
      <c r="F90" s="58">
        <v>13.85</v>
      </c>
      <c r="G90" s="44">
        <v>63.3</v>
      </c>
      <c r="H90" s="44">
        <f t="shared" si="8"/>
        <v>78.92</v>
      </c>
      <c r="I90" s="44">
        <f t="shared" si="9"/>
        <v>1093.04</v>
      </c>
    </row>
    <row r="91" spans="1:9" ht="63.75">
      <c r="A91" s="55" t="s">
        <v>244</v>
      </c>
      <c r="B91" s="41" t="s">
        <v>102</v>
      </c>
      <c r="C91" s="56" t="s">
        <v>227</v>
      </c>
      <c r="D91" s="57" t="s">
        <v>225</v>
      </c>
      <c r="E91" s="58" t="s">
        <v>226</v>
      </c>
      <c r="F91" s="58">
        <v>2</v>
      </c>
      <c r="G91" s="44">
        <v>503.64</v>
      </c>
      <c r="H91" s="44">
        <f t="shared" si="8"/>
        <v>627.89</v>
      </c>
      <c r="I91" s="44">
        <f t="shared" si="9"/>
        <v>1255.78</v>
      </c>
    </row>
    <row r="92" spans="1:9" ht="89.25">
      <c r="A92" s="55" t="s">
        <v>221</v>
      </c>
      <c r="B92" s="41" t="s">
        <v>102</v>
      </c>
      <c r="C92" s="56" t="s">
        <v>224</v>
      </c>
      <c r="D92" s="57" t="s">
        <v>223</v>
      </c>
      <c r="E92" s="58" t="s">
        <v>73</v>
      </c>
      <c r="F92" s="58">
        <v>3.85</v>
      </c>
      <c r="G92" s="44">
        <v>399.43</v>
      </c>
      <c r="H92" s="44">
        <f t="shared" si="8"/>
        <v>497.97</v>
      </c>
      <c r="I92" s="44">
        <f t="shared" si="9"/>
        <v>1917.18</v>
      </c>
    </row>
    <row r="93" spans="1:9" ht="6.75" customHeight="1">
      <c r="A93" s="45"/>
      <c r="B93" s="46"/>
      <c r="C93" s="46"/>
      <c r="D93" s="47"/>
      <c r="E93" s="45"/>
      <c r="F93" s="48"/>
      <c r="G93" s="49"/>
      <c r="H93" s="72"/>
      <c r="I93" s="67"/>
    </row>
    <row r="94" spans="1:9" ht="17.25" customHeight="1">
      <c r="A94" s="104" t="s">
        <v>232</v>
      </c>
      <c r="B94" s="105"/>
      <c r="C94" s="105"/>
      <c r="D94" s="105"/>
      <c r="E94" s="105"/>
      <c r="F94" s="105"/>
      <c r="G94" s="105"/>
      <c r="H94" s="106"/>
      <c r="I94" s="85">
        <f>I11+I14+I17+I23+I47+I68+I74+I86</f>
        <v>647371.97</v>
      </c>
    </row>
    <row r="95" spans="1:9" ht="36.75" customHeight="1">
      <c r="A95" s="24"/>
      <c r="B95" s="24"/>
      <c r="C95" s="24"/>
      <c r="D95" s="24"/>
      <c r="E95" s="24"/>
      <c r="F95" s="24"/>
      <c r="G95" s="24"/>
      <c r="H95" s="24"/>
      <c r="I95" s="24" t="s">
        <v>53</v>
      </c>
    </row>
    <row r="96" spans="1:9" ht="39.75" customHeight="1">
      <c r="A96" s="24"/>
      <c r="B96" s="89"/>
      <c r="C96" s="89"/>
      <c r="D96" s="89"/>
      <c r="E96" s="28"/>
      <c r="F96" s="21"/>
      <c r="G96" s="92" t="s">
        <v>230</v>
      </c>
      <c r="H96" s="92"/>
      <c r="I96" s="24"/>
    </row>
    <row r="97" spans="1:9" ht="16.5">
      <c r="A97" s="21"/>
      <c r="B97" s="93" t="s">
        <v>229</v>
      </c>
      <c r="C97" s="93"/>
      <c r="D97" s="93"/>
      <c r="E97" s="28"/>
      <c r="F97" s="21"/>
      <c r="G97" s="93" t="s">
        <v>89</v>
      </c>
      <c r="H97" s="93"/>
      <c r="I97" s="21"/>
    </row>
    <row r="98" spans="1:9" ht="19.5" customHeight="1">
      <c r="A98" s="25"/>
      <c r="B98" s="100"/>
      <c r="C98" s="100"/>
      <c r="D98" s="100"/>
      <c r="E98" s="108"/>
      <c r="F98" s="108"/>
      <c r="G98" s="29"/>
      <c r="H98" s="21"/>
      <c r="I98" s="25"/>
    </row>
    <row r="99" spans="1:9" ht="16.5" customHeight="1">
      <c r="A99" s="25"/>
      <c r="B99" s="91"/>
      <c r="C99" s="91"/>
      <c r="D99" s="91"/>
      <c r="E99" s="28"/>
      <c r="F99" s="28"/>
      <c r="G99" s="28"/>
      <c r="H99" s="21"/>
      <c r="I99" s="25"/>
    </row>
    <row r="100" spans="1:9" ht="12.75" customHeight="1">
      <c r="A100" s="25"/>
      <c r="B100" s="94"/>
      <c r="C100" s="94"/>
      <c r="D100" s="94"/>
      <c r="E100" s="28"/>
      <c r="F100" s="28"/>
      <c r="G100" s="28"/>
      <c r="H100" s="21"/>
      <c r="I100" s="25"/>
    </row>
    <row r="101" spans="1:9" ht="16.5" customHeight="1">
      <c r="A101" s="25"/>
      <c r="B101" s="90"/>
      <c r="C101" s="90"/>
      <c r="D101" s="90"/>
      <c r="E101" s="28"/>
      <c r="F101" s="28"/>
      <c r="G101" s="28"/>
      <c r="H101" s="21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</sheetData>
  <mergeCells count="22">
    <mergeCell ref="J1:O1"/>
    <mergeCell ref="A5:G5"/>
    <mergeCell ref="B97:D97"/>
    <mergeCell ref="G11:H11"/>
    <mergeCell ref="B98:D98"/>
    <mergeCell ref="A6:E6"/>
    <mergeCell ref="F6:I6"/>
    <mergeCell ref="A94:H94"/>
    <mergeCell ref="A9:I9"/>
    <mergeCell ref="A7:E7"/>
    <mergeCell ref="E98:F98"/>
    <mergeCell ref="B10:C10"/>
    <mergeCell ref="A2:I2"/>
    <mergeCell ref="A8:E8"/>
    <mergeCell ref="A3:I3"/>
    <mergeCell ref="A4:I4"/>
    <mergeCell ref="B96:D96"/>
    <mergeCell ref="B101:D101"/>
    <mergeCell ref="B99:D99"/>
    <mergeCell ref="G96:H96"/>
    <mergeCell ref="G97:H97"/>
    <mergeCell ref="B100:D100"/>
  </mergeCells>
  <phoneticPr fontId="3" type="noConversion"/>
  <printOptions horizontalCentered="1"/>
  <pageMargins left="0.9055118110236221" right="0.59055118110236227" top="0.78740157480314965" bottom="0.59055118110236227" header="0.31496062992125984" footer="0.31496062992125984"/>
  <pageSetup paperSize="9" scale="63" fitToHeight="0" orientation="portrait" horizontalDpi="300" verticalDpi="300" r:id="rId1"/>
  <headerFooter>
    <oddFooter>&amp;C&amp;P/&amp;N</oddFooter>
  </headerFooter>
  <rowBreaks count="2" manualBreakCount="2">
    <brk id="41" max="8" man="1"/>
    <brk id="8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view="pageBreakPreview" topLeftCell="A23" zoomScale="150" zoomScaleSheetLayoutView="150" workbookViewId="0">
      <selection activeCell="G16" sqref="G16"/>
    </sheetView>
  </sheetViews>
  <sheetFormatPr defaultRowHeight="12.75"/>
  <cols>
    <col min="1" max="1" width="32.42578125" customWidth="1"/>
    <col min="2" max="2" width="15.42578125" customWidth="1"/>
    <col min="3" max="3" width="13.85546875" customWidth="1"/>
    <col min="4" max="4" width="17.28515625" customWidth="1"/>
  </cols>
  <sheetData>
    <row r="1" spans="1:4" ht="32.1" customHeight="1">
      <c r="A1" s="128">
        <f>'Planilha de Orcamento'!A1:I1</f>
        <v>0</v>
      </c>
      <c r="B1" s="129"/>
      <c r="C1" s="129"/>
      <c r="D1" s="130"/>
    </row>
    <row r="2" spans="1:4" ht="3.75" customHeight="1">
      <c r="A2" s="128"/>
      <c r="B2" s="129"/>
      <c r="C2" s="129"/>
      <c r="D2" s="130"/>
    </row>
    <row r="3" spans="1:4" ht="20.100000000000001" customHeight="1">
      <c r="A3" s="131" t="s">
        <v>63</v>
      </c>
      <c r="B3" s="132"/>
      <c r="C3" s="132"/>
      <c r="D3" s="133"/>
    </row>
    <row r="4" spans="1:4" ht="18" customHeight="1">
      <c r="A4" s="134" t="str">
        <f>'Planilha de Orcamento'!A5:F5</f>
        <v>OBRA: PROJETO DO ESPAÇO DE LAZER E ESTACIONAMENTO NO PARQUE DO AREÃO</v>
      </c>
      <c r="B4" s="134"/>
      <c r="C4" s="134"/>
      <c r="D4" s="134"/>
    </row>
    <row r="5" spans="1:4" ht="18" customHeight="1">
      <c r="A5" s="134" t="str">
        <f>'Planilha de Orcamento'!A6:E6</f>
        <v>LOCAL: RUA ANTÔNIO LOUREIRO SOBRINHO, S/Nº - B. LUCÍLIA, JOÃO MONLEVADE</v>
      </c>
      <c r="B5" s="134"/>
      <c r="C5" s="134"/>
      <c r="D5" s="134"/>
    </row>
    <row r="6" spans="1:4" ht="3.75" customHeight="1">
      <c r="A6" s="125"/>
      <c r="B6" s="126"/>
      <c r="C6" s="126"/>
      <c r="D6" s="127"/>
    </row>
    <row r="7" spans="1:4" ht="21" customHeight="1">
      <c r="A7" s="118" t="s">
        <v>69</v>
      </c>
      <c r="B7" s="118"/>
      <c r="C7" s="118"/>
      <c r="D7" s="118"/>
    </row>
    <row r="8" spans="1:4" ht="45.75" customHeight="1">
      <c r="A8" s="4" t="s">
        <v>16</v>
      </c>
      <c r="B8" s="5" t="s">
        <v>17</v>
      </c>
      <c r="C8" s="4" t="s">
        <v>18</v>
      </c>
      <c r="D8" s="4" t="s">
        <v>19</v>
      </c>
    </row>
    <row r="9" spans="1:4" ht="21.95" customHeight="1">
      <c r="A9" s="6" t="s">
        <v>20</v>
      </c>
      <c r="B9" s="7" t="s">
        <v>21</v>
      </c>
      <c r="C9" s="8">
        <v>1</v>
      </c>
      <c r="D9" s="9"/>
    </row>
    <row r="10" spans="1:4" ht="21.95" customHeight="1">
      <c r="A10" s="10" t="s">
        <v>22</v>
      </c>
      <c r="B10" s="7" t="s">
        <v>10</v>
      </c>
      <c r="C10" s="8">
        <v>3.4200000000000001E-2</v>
      </c>
      <c r="D10" s="9" t="s">
        <v>21</v>
      </c>
    </row>
    <row r="11" spans="1:4" ht="21.95" customHeight="1">
      <c r="A11" s="10" t="s">
        <v>23</v>
      </c>
      <c r="B11" s="7" t="s">
        <v>13</v>
      </c>
      <c r="C11" s="8">
        <v>4.9399999999999999E-2</v>
      </c>
      <c r="D11" s="9" t="s">
        <v>21</v>
      </c>
    </row>
    <row r="12" spans="1:4" ht="21.95" customHeight="1">
      <c r="A12" s="10" t="s">
        <v>24</v>
      </c>
      <c r="B12" s="7" t="s">
        <v>12</v>
      </c>
      <c r="C12" s="8">
        <v>7.4999999999999997E-3</v>
      </c>
      <c r="D12" s="9" t="s">
        <v>21</v>
      </c>
    </row>
    <row r="13" spans="1:4" ht="21.95" customHeight="1">
      <c r="A13" s="10" t="s">
        <v>25</v>
      </c>
      <c r="B13" s="7" t="s">
        <v>26</v>
      </c>
      <c r="C13" s="8">
        <v>1.29E-2</v>
      </c>
      <c r="D13" s="9" t="s">
        <v>21</v>
      </c>
    </row>
    <row r="14" spans="1:4" ht="21.95" customHeight="1">
      <c r="A14" s="11" t="s">
        <v>27</v>
      </c>
      <c r="B14" s="7" t="s">
        <v>28</v>
      </c>
      <c r="C14" s="12">
        <v>5.3E-3</v>
      </c>
      <c r="D14" s="13" t="s">
        <v>21</v>
      </c>
    </row>
    <row r="15" spans="1:4" ht="21.95" customHeight="1">
      <c r="A15" s="11" t="s">
        <v>29</v>
      </c>
      <c r="B15" s="7" t="s">
        <v>11</v>
      </c>
      <c r="C15" s="12">
        <v>7.6E-3</v>
      </c>
      <c r="D15" s="13" t="s">
        <v>21</v>
      </c>
    </row>
    <row r="16" spans="1:4" ht="21.95" customHeight="1">
      <c r="A16" s="10" t="s">
        <v>14</v>
      </c>
      <c r="B16" s="7" t="s">
        <v>30</v>
      </c>
      <c r="C16" s="12">
        <v>3.6499999999999998E-2</v>
      </c>
      <c r="D16" s="13" t="s">
        <v>31</v>
      </c>
    </row>
    <row r="17" spans="1:4" ht="21.95" customHeight="1">
      <c r="A17" s="11" t="s">
        <v>15</v>
      </c>
      <c r="B17" s="7" t="s">
        <v>15</v>
      </c>
      <c r="C17" s="8">
        <v>0</v>
      </c>
      <c r="D17" s="13" t="s">
        <v>31</v>
      </c>
    </row>
    <row r="18" spans="1:4" ht="21.95" customHeight="1">
      <c r="A18" s="11" t="s">
        <v>32</v>
      </c>
      <c r="B18" s="7" t="s">
        <v>32</v>
      </c>
      <c r="C18" s="12">
        <v>6.4999999999999997E-3</v>
      </c>
      <c r="D18" s="13" t="s">
        <v>31</v>
      </c>
    </row>
    <row r="19" spans="1:4" ht="21.95" customHeight="1">
      <c r="A19" s="11" t="s">
        <v>33</v>
      </c>
      <c r="B19" s="7" t="s">
        <v>33</v>
      </c>
      <c r="C19" s="12">
        <v>0.03</v>
      </c>
      <c r="D19" s="13" t="s">
        <v>31</v>
      </c>
    </row>
    <row r="20" spans="1:4" ht="21.95" customHeight="1">
      <c r="A20" s="10" t="s">
        <v>34</v>
      </c>
      <c r="B20" s="7" t="s">
        <v>35</v>
      </c>
      <c r="C20" s="14"/>
      <c r="D20" s="13" t="s">
        <v>31</v>
      </c>
    </row>
    <row r="21" spans="1:4" ht="18.75" customHeight="1">
      <c r="A21" s="119" t="s">
        <v>36</v>
      </c>
      <c r="B21" s="121" t="s">
        <v>37</v>
      </c>
      <c r="C21" s="121"/>
      <c r="D21" s="121"/>
    </row>
    <row r="22" spans="1:4" ht="16.5" customHeight="1">
      <c r="A22" s="120"/>
      <c r="B22" s="122" t="s">
        <v>38</v>
      </c>
      <c r="C22" s="122"/>
      <c r="D22" s="122"/>
    </row>
    <row r="23" spans="1:4" ht="17.25" customHeight="1">
      <c r="A23" s="119" t="s">
        <v>39</v>
      </c>
      <c r="B23" s="123" t="s">
        <v>40</v>
      </c>
      <c r="C23" s="15">
        <f>(1+(C10+C13))*(1+C12)*(1+C11)-1</f>
        <v>0.1071</v>
      </c>
      <c r="D23" s="124">
        <f>(1+C23)/C24-1</f>
        <v>0.14899999999999999</v>
      </c>
    </row>
    <row r="24" spans="1:4" ht="18" customHeight="1">
      <c r="A24" s="119"/>
      <c r="B24" s="123"/>
      <c r="C24" s="16">
        <f>(1-(C16+C20))</f>
        <v>0.96350000000000002</v>
      </c>
      <c r="D24" s="124"/>
    </row>
    <row r="25" spans="1:4">
      <c r="A25" s="17"/>
      <c r="B25" s="17"/>
      <c r="C25" s="18"/>
      <c r="D25" s="19"/>
    </row>
    <row r="26" spans="1:4" ht="39" customHeight="1">
      <c r="A26" s="117" t="s">
        <v>56</v>
      </c>
      <c r="B26" s="117"/>
      <c r="C26" s="117"/>
      <c r="D26" s="117"/>
    </row>
    <row r="27" spans="1:4" ht="12.75" customHeight="1">
      <c r="A27" s="117" t="s">
        <v>57</v>
      </c>
      <c r="B27" s="117"/>
      <c r="C27" s="117"/>
      <c r="D27" s="117"/>
    </row>
    <row r="28" spans="1:4" ht="12.75" customHeight="1">
      <c r="A28" s="117" t="s">
        <v>58</v>
      </c>
      <c r="B28" s="117"/>
      <c r="C28" s="117"/>
      <c r="D28" s="117"/>
    </row>
    <row r="29" spans="1:4" ht="12.75" customHeight="1">
      <c r="A29" s="117" t="s">
        <v>59</v>
      </c>
      <c r="B29" s="117"/>
      <c r="C29" s="117"/>
      <c r="D29" s="117"/>
    </row>
    <row r="30" spans="1:4" ht="12.75" customHeight="1">
      <c r="A30" s="117" t="s">
        <v>60</v>
      </c>
      <c r="B30" s="117"/>
      <c r="C30" s="117"/>
      <c r="D30" s="117"/>
    </row>
    <row r="31" spans="1:4">
      <c r="A31" s="117" t="s">
        <v>68</v>
      </c>
      <c r="B31" s="117"/>
      <c r="C31" s="117"/>
      <c r="D31" s="117"/>
    </row>
    <row r="32" spans="1:4">
      <c r="C32" s="3"/>
    </row>
    <row r="33" spans="1:4" ht="13.5">
      <c r="A33" s="115"/>
      <c r="B33" s="115"/>
      <c r="C33" s="3"/>
      <c r="D33" s="26" t="s">
        <v>67</v>
      </c>
    </row>
    <row r="34" spans="1:4" ht="13.5">
      <c r="A34" s="116" t="s">
        <v>66</v>
      </c>
      <c r="B34" s="116"/>
      <c r="C34" s="3"/>
      <c r="D34" s="27" t="s">
        <v>65</v>
      </c>
    </row>
  </sheetData>
  <mergeCells count="21">
    <mergeCell ref="A6:D6"/>
    <mergeCell ref="A1:D1"/>
    <mergeCell ref="A2:D2"/>
    <mergeCell ref="A3:D3"/>
    <mergeCell ref="A4:D4"/>
    <mergeCell ref="A5:D5"/>
    <mergeCell ref="A7:D7"/>
    <mergeCell ref="A21:A22"/>
    <mergeCell ref="B21:D21"/>
    <mergeCell ref="B22:D22"/>
    <mergeCell ref="A23:A24"/>
    <mergeCell ref="B23:B24"/>
    <mergeCell ref="D23:D24"/>
    <mergeCell ref="A33:B33"/>
    <mergeCell ref="A34:B34"/>
    <mergeCell ref="A26:D26"/>
    <mergeCell ref="A27:D27"/>
    <mergeCell ref="A28:D28"/>
    <mergeCell ref="A29:D29"/>
    <mergeCell ref="A30:D30"/>
    <mergeCell ref="A31:D31"/>
  </mergeCells>
  <conditionalFormatting sqref="B27 D8 B24">
    <cfRule type="cellIs" dxfId="3" priority="4" stopIfTrue="1" operator="equal">
      <formula>0</formula>
    </cfRule>
  </conditionalFormatting>
  <conditionalFormatting sqref="B12:B13">
    <cfRule type="cellIs" dxfId="2" priority="2" stopIfTrue="1" operator="equal">
      <formula>0</formula>
    </cfRule>
    <cfRule type="cellIs" dxfId="1" priority="3" stopIfTrue="1" operator="equal">
      <formula>"FORA DO LIMITE !"</formula>
    </cfRule>
  </conditionalFormatting>
  <conditionalFormatting sqref="B23">
    <cfRule type="cellIs" dxfId="0" priority="1" stopIfTrue="1" operator="equal">
      <formula>"ERRO"</formula>
    </cfRule>
  </conditionalFormatting>
  <dataValidations count="4">
    <dataValidation type="decimal" allowBlank="1" showInputMessage="1" showErrorMessage="1" sqref="D5:D6">
      <formula1>3.8</formula1>
      <formula2>4.67</formula2>
    </dataValidation>
    <dataValidation type="decimal" allowBlank="1" showInputMessage="1" showErrorMessage="1" sqref="I25">
      <formula1>0</formula1>
      <formula2>1</formula2>
    </dataValidation>
    <dataValidation type="decimal" allowBlank="1" showInputMessage="1" showErrorMessage="1" sqref="G26">
      <formula1>0</formula1>
      <formula2>0.05</formula2>
    </dataValidation>
    <dataValidation type="decimal" allowBlank="1" showInputMessage="1" showErrorMessage="1" sqref="D7">
      <formula1>6.64</formula1>
      <formula2>8.69</formula2>
    </dataValidation>
  </dataValidations>
  <printOptions horizontalCentered="1"/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8:K73"/>
  <sheetViews>
    <sheetView zoomScale="90" zoomScaleNormal="90" workbookViewId="0">
      <selection activeCell="L61" sqref="L61"/>
    </sheetView>
  </sheetViews>
  <sheetFormatPr defaultRowHeight="12.75"/>
  <cols>
    <col min="9" max="9" width="9.28515625" bestFit="1" customWidth="1"/>
  </cols>
  <sheetData>
    <row r="58" spans="1:11">
      <c r="K58">
        <v>10</v>
      </c>
    </row>
    <row r="59" spans="1:11">
      <c r="A59" s="23">
        <f>3+8.25+7.58+22.45</f>
        <v>41.28</v>
      </c>
      <c r="B59" s="23">
        <f>16.77+42.48+12.75+21</f>
        <v>93</v>
      </c>
      <c r="C59" s="23"/>
      <c r="D59" s="23">
        <v>6.87</v>
      </c>
      <c r="E59" s="23"/>
      <c r="F59" s="23">
        <f>12.64+10.05+12.81</f>
        <v>35.5</v>
      </c>
      <c r="G59" s="23"/>
      <c r="H59" s="23"/>
      <c r="I59" s="23"/>
      <c r="J59" s="23"/>
      <c r="K59" s="23"/>
    </row>
    <row r="60" spans="1:11">
      <c r="A60" s="23"/>
      <c r="B60" s="23">
        <f>3.67+24.67+20.27+22.05</f>
        <v>70.66</v>
      </c>
      <c r="C60" s="23">
        <f>33.68+43.11</f>
        <v>76.790000000000006</v>
      </c>
      <c r="D60" s="23">
        <v>11.13</v>
      </c>
      <c r="E60" s="23"/>
      <c r="F60" s="23">
        <f>20.87+21.39+19.36+18.98+19.36+15.04</f>
        <v>115</v>
      </c>
      <c r="G60" s="23"/>
      <c r="H60" s="23"/>
      <c r="I60" s="23"/>
      <c r="J60" s="23"/>
      <c r="K60" s="23">
        <v>2</v>
      </c>
    </row>
    <row r="61" spans="1:11">
      <c r="A61" s="23"/>
      <c r="B61" s="23">
        <f>12.61+2.3</f>
        <v>14.91</v>
      </c>
      <c r="C61" s="23">
        <f>21.78+25.5+28.34+13.28+14.9</f>
        <v>103.8</v>
      </c>
      <c r="D61" s="23">
        <v>5.37</v>
      </c>
      <c r="E61" s="23"/>
      <c r="F61" s="23">
        <f>30.16+23.72+31.36+30.26</f>
        <v>115.5</v>
      </c>
      <c r="G61" s="23"/>
      <c r="H61" s="23"/>
      <c r="I61" s="23">
        <f>8728+2192</f>
        <v>10920</v>
      </c>
      <c r="J61" s="23"/>
      <c r="K61" s="23">
        <v>2</v>
      </c>
    </row>
    <row r="62" spans="1:11">
      <c r="A62" s="23"/>
      <c r="B62" s="23">
        <f>31.43</f>
        <v>31.43</v>
      </c>
      <c r="C62" s="23">
        <f>34.05+14.86+61.84+32.38</f>
        <v>143.13</v>
      </c>
      <c r="D62" s="23">
        <v>8.48</v>
      </c>
      <c r="E62" s="23"/>
      <c r="G62" s="23"/>
      <c r="H62" s="23"/>
      <c r="I62" s="23">
        <v>890</v>
      </c>
      <c r="J62" s="23"/>
      <c r="K62" s="23">
        <v>2</v>
      </c>
    </row>
    <row r="63" spans="1:11">
      <c r="A63" s="23"/>
      <c r="B63" s="23">
        <f>32.99+0.65</f>
        <v>33.64</v>
      </c>
      <c r="C63" s="23">
        <f>34.25+42.74+29.69+15.75</f>
        <v>122.43</v>
      </c>
      <c r="D63" s="23">
        <v>8.6300000000000008</v>
      </c>
      <c r="E63" s="23"/>
      <c r="F63" s="23"/>
      <c r="G63" s="23"/>
      <c r="H63" s="23"/>
      <c r="I63" s="23">
        <v>740</v>
      </c>
      <c r="J63" s="23"/>
      <c r="K63" s="23">
        <v>1</v>
      </c>
    </row>
    <row r="64" spans="1:11">
      <c r="A64" s="23"/>
      <c r="B64" s="23">
        <v>32</v>
      </c>
      <c r="C64" s="23">
        <f>22.02+31.96+34.15</f>
        <v>88.13</v>
      </c>
      <c r="D64" s="23">
        <v>23.36</v>
      </c>
      <c r="E64" s="23"/>
      <c r="F64" s="23">
        <f>28.86+34.44+47.07+31.3+28.96+36.1+30.22+29.05</f>
        <v>266</v>
      </c>
      <c r="G64" s="23"/>
      <c r="H64" s="23"/>
      <c r="I64" s="23">
        <v>590</v>
      </c>
      <c r="J64" s="23"/>
      <c r="K64" s="23">
        <v>4</v>
      </c>
    </row>
    <row r="65" spans="1:11">
      <c r="A65" s="23"/>
      <c r="B65" s="23">
        <f>26.73+16.7+47.6+12.58</f>
        <v>103.61</v>
      </c>
      <c r="C65" s="23">
        <f>37.22+27.82</f>
        <v>65.040000000000006</v>
      </c>
      <c r="D65" s="23"/>
      <c r="E65" s="23"/>
      <c r="F65" s="23">
        <f>21.03+29.91+26.69+9.39</f>
        <v>87.02</v>
      </c>
      <c r="G65" s="23"/>
      <c r="H65" s="23"/>
      <c r="I65" s="23"/>
      <c r="J65" s="23"/>
      <c r="K65" s="23">
        <v>35</v>
      </c>
    </row>
    <row r="66" spans="1:11">
      <c r="A66" s="23"/>
      <c r="B66" s="23"/>
      <c r="C66" s="23"/>
      <c r="D66" s="23">
        <v>25.7</v>
      </c>
      <c r="E66" s="23">
        <v>6.4</v>
      </c>
      <c r="F66" s="23">
        <f>20.95+19.01+12.59</f>
        <v>52.55</v>
      </c>
      <c r="G66" s="23"/>
      <c r="H66" s="23"/>
      <c r="I66" s="23"/>
      <c r="J66" s="23"/>
      <c r="K66" s="23">
        <v>15</v>
      </c>
    </row>
    <row r="67" spans="1:11">
      <c r="A67" s="23"/>
      <c r="B67" s="23">
        <f>59.75+25.71</f>
        <v>85.46</v>
      </c>
      <c r="C67" s="23"/>
      <c r="D67" s="23">
        <v>22.08</v>
      </c>
      <c r="E67" s="23"/>
      <c r="F67" s="23"/>
      <c r="G67" s="23"/>
      <c r="H67" s="23"/>
      <c r="I67" s="23"/>
      <c r="J67" s="23"/>
      <c r="K67" s="23">
        <v>21</v>
      </c>
    </row>
    <row r="68" spans="1:1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>
        <f>SUM(K58:K69)</f>
        <v>92</v>
      </c>
    </row>
    <row r="71" spans="1:1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de Orcamento</vt:lpstr>
      <vt:lpstr>BDI (Material)</vt:lpstr>
      <vt:lpstr>Plan1</vt:lpstr>
      <vt:lpstr>'BDI (Material)'!Area_de_impressao</vt:lpstr>
      <vt:lpstr>'Planilha de Orcamento'!Area_de_impressao</vt:lpstr>
      <vt:lpstr>'Planilha de Orcamento'!Titulos_de_impressao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2025-08-11T11:11:19Z</cp:lastPrinted>
  <dcterms:created xsi:type="dcterms:W3CDTF">2006-09-22T13:55:22Z</dcterms:created>
  <dcterms:modified xsi:type="dcterms:W3CDTF">2025-10-06T16:31:30Z</dcterms:modified>
</cp:coreProperties>
</file>