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4400" yWindow="-15" windowWidth="14445" windowHeight="12165" tabRatio="844"/>
  </bookViews>
  <sheets>
    <sheet name="Planilha orç." sheetId="49" r:id="rId1"/>
    <sheet name="Memória de Cálculo" sheetId="53" r:id="rId2"/>
    <sheet name="Cronograma" sheetId="50" r:id="rId3"/>
    <sheet name="Composição" sheetId="52" r:id="rId4"/>
    <sheet name="BDI" sheetId="54" r:id="rId5"/>
    <sheet name="Planilha1" sheetId="55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'Planilha orç.'!$B$1:$B$248</definedName>
    <definedName name="ACOMPANHAMENTO" hidden="1">IF(VALUE([1]MENU!$O$4)=2,"BM","PLE")</definedName>
    <definedName name="_xlnm.Print_Area" localSheetId="3">Composição!$A$1:$G$70</definedName>
    <definedName name="_xlnm.Print_Area" localSheetId="2">Cronograma!$A$1:$J$43</definedName>
    <definedName name="_xlnm.Print_Area" localSheetId="1">'Memória de Cálculo'!$A$1:$K$720</definedName>
    <definedName name="_xlnm.Print_Area" localSheetId="0">'Planilha orç.'!$A$1:$J$239</definedName>
    <definedName name="CRONO.MaxParc" hidden="1">[2]CRONO!#REF!+[2]CRONO!A1</definedName>
    <definedName name="DESONERACAO" hidden="1">IF(OR(Import.Desoneracao="DESONERADO",Import.Desoneracao="SIM"),"SIM","NÃO")</definedName>
    <definedName name="Import.Desoneracao" hidden="1">OFFSET([3]DADOS!$G$18,0,-1)</definedName>
    <definedName name="ListaTgov.Unidades" hidden="1">[4]DADOS!$AQ$3:$AQ$220</definedName>
    <definedName name="NRELATORIOS">COUNTA([5]Relatórios!$A:$A)-2</definedName>
    <definedName name="ORÇAMENTO.BancoRef" hidden="1">'Planilha orç.'!#REF!</definedName>
    <definedName name="ORÇAMENTO.CustoUnitario" hidden="1">ROUND('Planilha orç.'!#REF!,15-13*'Planilha orç.'!#REF!)</definedName>
    <definedName name="ORÇAMENTO.PrecoUnitarioLicitado" hidden="1">'Planilha orç.'!$Y1</definedName>
    <definedName name="REFERENCIA.Descricao" hidden="1">IF(ISNUMBER('Planilha orç.'!$S1),OFFSET(INDIRECT(ORÇAMENTO.BancoRef),'Planilha orç.'!$S1-1,3,1),'Planilha orç.'!$S1)</definedName>
    <definedName name="REFERENCIA.Unidade" hidden="1">IF(ISNUMBER('Planilha orç.'!$S1),OFFSET(INDIRECT(ORÇAMENTO.BancoRef),'Planilha orç.'!$S1-1,4,1),"-")</definedName>
    <definedName name="RelatoriosFontes">OFFSET([5]Relatórios!$A$5,1,0,NRELATORIOS)</definedName>
    <definedName name="SomaAgrup" hidden="1">SUMIF(OFFSET('Planilha orç.'!$A1,1,0,'Planilha orç.'!$B1),"S",OFFSET('Planilha orç.'!A1,1,0,'Planilha orç.'!$B1))</definedName>
    <definedName name="TIPOORCAMENTO" hidden="1">IF(VALUE([2]MENU!$O$3)=2,"Licitado","Proposto")</definedName>
    <definedName name="VTOTAL1" hidden="1">ROUND('Planilha orç.'!#REF!*'Planilha orç.'!#REF!,15-13*'Planilha orç.'!#REF!)</definedName>
  </definedNames>
  <calcPr calcId="12451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9"/>
  <c r="H25" i="50"/>
  <c r="H23"/>
  <c r="I23"/>
  <c r="G23"/>
  <c r="H21"/>
  <c r="G19"/>
  <c r="J231" i="49"/>
  <c r="J230"/>
  <c r="J229"/>
  <c r="J228"/>
  <c r="J227"/>
  <c r="J226"/>
  <c r="J225"/>
  <c r="J223"/>
  <c r="J222"/>
  <c r="J221"/>
  <c r="J220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4"/>
  <c r="J153"/>
  <c r="J152"/>
  <c r="J151"/>
  <c r="J150"/>
  <c r="J149"/>
  <c r="J148"/>
  <c r="J147"/>
  <c r="J146"/>
  <c r="J145"/>
  <c r="J144"/>
  <c r="J143"/>
  <c r="J141"/>
  <c r="J140"/>
  <c r="J139"/>
  <c r="J138"/>
  <c r="J137"/>
  <c r="J136"/>
  <c r="J135"/>
  <c r="J134"/>
  <c r="J133"/>
  <c r="J132"/>
  <c r="J131"/>
  <c r="J130"/>
  <c r="J129"/>
  <c r="J127"/>
  <c r="J126"/>
  <c r="J125"/>
  <c r="J124"/>
  <c r="J123"/>
  <c r="J122"/>
  <c r="J121"/>
  <c r="J120"/>
  <c r="J116"/>
  <c r="J115"/>
  <c r="J114"/>
  <c r="J112"/>
  <c r="J111"/>
  <c r="J109"/>
  <c r="J108"/>
  <c r="J107"/>
  <c r="J106"/>
  <c r="J105"/>
  <c r="J104"/>
  <c r="J103"/>
  <c r="J102"/>
  <c r="J101"/>
  <c r="J98"/>
  <c r="J97"/>
  <c r="J95"/>
  <c r="J94"/>
  <c r="J92"/>
  <c r="J91"/>
  <c r="J90"/>
  <c r="J89"/>
  <c r="J86"/>
  <c r="J85"/>
  <c r="J82"/>
  <c r="J80"/>
  <c r="J79"/>
  <c r="J78"/>
  <c r="J77"/>
  <c r="J76"/>
  <c r="J75"/>
  <c r="J72"/>
  <c r="J71"/>
  <c r="J70"/>
  <c r="J69"/>
  <c r="J68"/>
  <c r="J67"/>
  <c r="J65"/>
  <c r="J64"/>
  <c r="J62"/>
  <c r="J61"/>
  <c r="J59"/>
  <c r="J58"/>
  <c r="J57"/>
  <c r="J56"/>
  <c r="J53"/>
  <c r="J52"/>
  <c r="J51"/>
  <c r="J50"/>
  <c r="J49"/>
  <c r="J48"/>
  <c r="J47"/>
  <c r="J46"/>
  <c r="J45"/>
  <c r="J44"/>
  <c r="J43"/>
  <c r="J40"/>
  <c r="J38"/>
  <c r="J37"/>
  <c r="J36"/>
  <c r="J35"/>
  <c r="J34"/>
  <c r="J33"/>
  <c r="J32"/>
  <c r="J31"/>
  <c r="J24"/>
  <c r="J25"/>
  <c r="J26"/>
  <c r="J27"/>
  <c r="J28"/>
  <c r="J29"/>
  <c r="J23"/>
  <c r="J22"/>
  <c r="J21"/>
  <c r="J18"/>
  <c r="J17"/>
  <c r="J14"/>
  <c r="D24" i="54" l="1"/>
  <c r="C74" i="53" l="1"/>
  <c r="K702"/>
  <c r="K701"/>
  <c r="I702"/>
  <c r="I701"/>
  <c r="D63" i="52" l="1"/>
  <c r="C63"/>
  <c r="B63"/>
  <c r="G66"/>
  <c r="G65"/>
  <c r="G64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D41"/>
  <c r="C41"/>
  <c r="B41"/>
  <c r="G42"/>
  <c r="F126" i="49"/>
  <c r="D35" i="52"/>
  <c r="B35"/>
  <c r="C35"/>
  <c r="G39"/>
  <c r="G38"/>
  <c r="G37"/>
  <c r="G36"/>
  <c r="F153" i="49"/>
  <c r="F152"/>
  <c r="F151"/>
  <c r="K553" i="53"/>
  <c r="D553"/>
  <c r="K551"/>
  <c r="D551"/>
  <c r="K549"/>
  <c r="D549"/>
  <c r="B555"/>
  <c r="C555"/>
  <c r="B553"/>
  <c r="C553"/>
  <c r="B551"/>
  <c r="C551"/>
  <c r="B549"/>
  <c r="C549"/>
  <c r="B547"/>
  <c r="C547"/>
  <c r="A553"/>
  <c r="A551"/>
  <c r="A549"/>
  <c r="G63" i="52" l="1"/>
  <c r="G41"/>
  <c r="G35"/>
  <c r="K501" i="53"/>
  <c r="D501"/>
  <c r="B501"/>
  <c r="C501"/>
  <c r="A501"/>
  <c r="M161" l="1"/>
  <c r="F25" i="52"/>
  <c r="D27" l="1"/>
  <c r="D23"/>
  <c r="D19"/>
  <c r="D10"/>
  <c r="C27"/>
  <c r="C23"/>
  <c r="C19"/>
  <c r="C10"/>
  <c r="B10"/>
  <c r="B19"/>
  <c r="B23"/>
  <c r="I70" l="1"/>
  <c r="J26"/>
  <c r="K697" i="53"/>
  <c r="K698" s="1"/>
  <c r="B32" i="50"/>
  <c r="B30"/>
  <c r="B28"/>
  <c r="B26"/>
  <c r="B24"/>
  <c r="B22"/>
  <c r="B20"/>
  <c r="A32"/>
  <c r="A30"/>
  <c r="A28"/>
  <c r="A26"/>
  <c r="A24"/>
  <c r="A22"/>
  <c r="A20"/>
  <c r="A18"/>
  <c r="A16"/>
  <c r="A14"/>
  <c r="K693" i="53"/>
  <c r="K601"/>
  <c r="D601"/>
  <c r="B601"/>
  <c r="C601"/>
  <c r="A601"/>
  <c r="F178" i="49"/>
  <c r="D667" i="53"/>
  <c r="D669"/>
  <c r="D671"/>
  <c r="D673"/>
  <c r="D675"/>
  <c r="D677"/>
  <c r="D679"/>
  <c r="K679"/>
  <c r="K677"/>
  <c r="K675"/>
  <c r="K673"/>
  <c r="K671"/>
  <c r="K669"/>
  <c r="K667"/>
  <c r="K665"/>
  <c r="D665"/>
  <c r="B679"/>
  <c r="C679"/>
  <c r="B677"/>
  <c r="C677"/>
  <c r="B675"/>
  <c r="C675"/>
  <c r="B673"/>
  <c r="C673"/>
  <c r="B671"/>
  <c r="C671"/>
  <c r="B669"/>
  <c r="C669"/>
  <c r="B667"/>
  <c r="C667"/>
  <c r="B665"/>
  <c r="C665"/>
  <c r="F218" i="49"/>
  <c r="F217"/>
  <c r="F216"/>
  <c r="F215"/>
  <c r="F214"/>
  <c r="F213"/>
  <c r="F212"/>
  <c r="F211"/>
  <c r="A679" i="53"/>
  <c r="A677"/>
  <c r="A675"/>
  <c r="A673"/>
  <c r="A671"/>
  <c r="A669"/>
  <c r="A667"/>
  <c r="A665"/>
  <c r="F196" i="49"/>
  <c r="F195"/>
  <c r="F194"/>
  <c r="F193"/>
  <c r="F192"/>
  <c r="F191"/>
  <c r="F190"/>
  <c r="K637" i="53"/>
  <c r="D637"/>
  <c r="K635"/>
  <c r="D635"/>
  <c r="K633"/>
  <c r="D633"/>
  <c r="K631"/>
  <c r="D631"/>
  <c r="K629"/>
  <c r="D629"/>
  <c r="K627"/>
  <c r="D627"/>
  <c r="K625"/>
  <c r="D625"/>
  <c r="B637"/>
  <c r="C637"/>
  <c r="B635"/>
  <c r="C635"/>
  <c r="B633"/>
  <c r="C633"/>
  <c r="B631"/>
  <c r="C631"/>
  <c r="B629"/>
  <c r="C629"/>
  <c r="B627"/>
  <c r="C627"/>
  <c r="B625"/>
  <c r="C625"/>
  <c r="A637"/>
  <c r="A635"/>
  <c r="A633"/>
  <c r="A631"/>
  <c r="A629"/>
  <c r="A627"/>
  <c r="A625"/>
  <c r="K484"/>
  <c r="K483"/>
  <c r="K485" s="1"/>
  <c r="I477"/>
  <c r="I478"/>
  <c r="G473"/>
  <c r="I473"/>
  <c r="G479"/>
  <c r="K479" s="1"/>
  <c r="G478"/>
  <c r="G477"/>
  <c r="G476"/>
  <c r="K476" s="1"/>
  <c r="G475"/>
  <c r="K475" s="1"/>
  <c r="G474"/>
  <c r="K474" s="1"/>
  <c r="K469"/>
  <c r="K468"/>
  <c r="K467"/>
  <c r="K457"/>
  <c r="K456"/>
  <c r="G458"/>
  <c r="K458" s="1"/>
  <c r="K452"/>
  <c r="K446"/>
  <c r="K441"/>
  <c r="K429"/>
  <c r="K430"/>
  <c r="K431"/>
  <c r="K432"/>
  <c r="K433"/>
  <c r="K428"/>
  <c r="K423"/>
  <c r="K424"/>
  <c r="K422"/>
  <c r="G411"/>
  <c r="K411" s="1"/>
  <c r="G412"/>
  <c r="K412" s="1"/>
  <c r="G413"/>
  <c r="K413" s="1"/>
  <c r="G414"/>
  <c r="K414" s="1"/>
  <c r="G415"/>
  <c r="K415" s="1"/>
  <c r="G416"/>
  <c r="K416" s="1"/>
  <c r="G417"/>
  <c r="K417" s="1"/>
  <c r="G418"/>
  <c r="K418" s="1"/>
  <c r="G410"/>
  <c r="K410" s="1"/>
  <c r="G396"/>
  <c r="K396" s="1"/>
  <c r="G397"/>
  <c r="K397" s="1"/>
  <c r="G398"/>
  <c r="K398" s="1"/>
  <c r="G399"/>
  <c r="K399" s="1"/>
  <c r="G400"/>
  <c r="K400" s="1"/>
  <c r="G401"/>
  <c r="K401" s="1"/>
  <c r="G402"/>
  <c r="K402" s="1"/>
  <c r="G403"/>
  <c r="K403" s="1"/>
  <c r="G395"/>
  <c r="K395" s="1"/>
  <c r="K392"/>
  <c r="K406" s="1"/>
  <c r="K407" s="1"/>
  <c r="B681"/>
  <c r="B640"/>
  <c r="B639"/>
  <c r="B558"/>
  <c r="B557"/>
  <c r="B532"/>
  <c r="B505"/>
  <c r="B488"/>
  <c r="B487"/>
  <c r="B486"/>
  <c r="B464"/>
  <c r="B453"/>
  <c r="G375"/>
  <c r="K375" s="1"/>
  <c r="G374"/>
  <c r="K374" s="1"/>
  <c r="G373"/>
  <c r="K373" s="1"/>
  <c r="K372"/>
  <c r="B380"/>
  <c r="B379"/>
  <c r="K330"/>
  <c r="K341" s="1"/>
  <c r="I329"/>
  <c r="K335"/>
  <c r="I340"/>
  <c r="E340"/>
  <c r="E329"/>
  <c r="K323"/>
  <c r="I322"/>
  <c r="E322"/>
  <c r="I321"/>
  <c r="E321"/>
  <c r="G302"/>
  <c r="K302" s="1"/>
  <c r="G303"/>
  <c r="K303" s="1"/>
  <c r="G301"/>
  <c r="K301" s="1"/>
  <c r="I296"/>
  <c r="E296"/>
  <c r="I295"/>
  <c r="E295"/>
  <c r="I294"/>
  <c r="E294"/>
  <c r="I293"/>
  <c r="E293"/>
  <c r="I292"/>
  <c r="E292"/>
  <c r="I291"/>
  <c r="E291"/>
  <c r="K286"/>
  <c r="I285"/>
  <c r="E285"/>
  <c r="I284"/>
  <c r="E284"/>
  <c r="I267"/>
  <c r="I260"/>
  <c r="K261"/>
  <c r="I266"/>
  <c r="I259"/>
  <c r="I262"/>
  <c r="I264"/>
  <c r="I265"/>
  <c r="I263"/>
  <c r="E259"/>
  <c r="E260"/>
  <c r="E267"/>
  <c r="E266"/>
  <c r="E262"/>
  <c r="E264"/>
  <c r="E263"/>
  <c r="E265"/>
  <c r="K244"/>
  <c r="K243"/>
  <c r="G245"/>
  <c r="K245" s="1"/>
  <c r="K239"/>
  <c r="K240" s="1"/>
  <c r="E249" s="1"/>
  <c r="K249" s="1"/>
  <c r="K250" s="1"/>
  <c r="K235"/>
  <c r="K236" s="1"/>
  <c r="D30" i="52"/>
  <c r="C30"/>
  <c r="B30"/>
  <c r="E31"/>
  <c r="G31" s="1"/>
  <c r="G33"/>
  <c r="G32"/>
  <c r="K223" i="53"/>
  <c r="K224" s="1"/>
  <c r="K219"/>
  <c r="K218"/>
  <c r="I194"/>
  <c r="I193"/>
  <c r="I192"/>
  <c r="I190"/>
  <c r="I189"/>
  <c r="I181"/>
  <c r="K181" s="1"/>
  <c r="I180"/>
  <c r="K180" s="1"/>
  <c r="E194"/>
  <c r="E193"/>
  <c r="E192"/>
  <c r="E191"/>
  <c r="K191" s="1"/>
  <c r="E189"/>
  <c r="E190"/>
  <c r="E184"/>
  <c r="K184" s="1"/>
  <c r="E183"/>
  <c r="K183" s="1"/>
  <c r="E182"/>
  <c r="K182" s="1"/>
  <c r="K185"/>
  <c r="K187"/>
  <c r="D187"/>
  <c r="C187"/>
  <c r="B187"/>
  <c r="A187"/>
  <c r="G30" i="52" l="1"/>
  <c r="G64" i="49" s="1"/>
  <c r="K705" i="53"/>
  <c r="K478"/>
  <c r="K473"/>
  <c r="K477"/>
  <c r="K470"/>
  <c r="K459"/>
  <c r="K425"/>
  <c r="K434"/>
  <c r="K419"/>
  <c r="K404"/>
  <c r="K376"/>
  <c r="K378" s="1"/>
  <c r="K707" s="1"/>
  <c r="K340"/>
  <c r="K342" s="1"/>
  <c r="K321"/>
  <c r="K322"/>
  <c r="K329" s="1"/>
  <c r="K304"/>
  <c r="K291"/>
  <c r="K284"/>
  <c r="K292"/>
  <c r="K296"/>
  <c r="K285"/>
  <c r="K293"/>
  <c r="K295"/>
  <c r="K264"/>
  <c r="K294"/>
  <c r="K263"/>
  <c r="K266"/>
  <c r="K267"/>
  <c r="K259"/>
  <c r="K265"/>
  <c r="K262"/>
  <c r="K260"/>
  <c r="K186"/>
  <c r="K246"/>
  <c r="K194"/>
  <c r="K220"/>
  <c r="K192"/>
  <c r="K193"/>
  <c r="K190"/>
  <c r="K189"/>
  <c r="K703" l="1"/>
  <c r="K480"/>
  <c r="G462"/>
  <c r="K367"/>
  <c r="K368" s="1"/>
  <c r="K364"/>
  <c r="K365" s="1"/>
  <c r="K268"/>
  <c r="K197"/>
  <c r="F57" i="49" s="1"/>
  <c r="K462" i="53" l="1"/>
  <c r="K463" s="1"/>
  <c r="E21" i="52"/>
  <c r="K174" i="53"/>
  <c r="F53" i="49" s="1"/>
  <c r="K170" i="53"/>
  <c r="F52" i="49" s="1"/>
  <c r="E165" i="53"/>
  <c r="K165" s="1"/>
  <c r="K166" s="1"/>
  <c r="F51" i="49" s="1"/>
  <c r="M172" i="53"/>
  <c r="K171"/>
  <c r="D171"/>
  <c r="C171"/>
  <c r="B171"/>
  <c r="A171"/>
  <c r="K167"/>
  <c r="D167"/>
  <c r="C167"/>
  <c r="B167"/>
  <c r="A167"/>
  <c r="K163"/>
  <c r="D163"/>
  <c r="C163"/>
  <c r="B163"/>
  <c r="A163"/>
  <c r="K157"/>
  <c r="K161"/>
  <c r="K162" s="1"/>
  <c r="K141"/>
  <c r="K142" s="1"/>
  <c r="E153"/>
  <c r="K153" s="1"/>
  <c r="K154" s="1"/>
  <c r="K149"/>
  <c r="K150" s="1"/>
  <c r="K145"/>
  <c r="K146" s="1"/>
  <c r="K138"/>
  <c r="K135"/>
  <c r="G120"/>
  <c r="K120" s="1"/>
  <c r="G121"/>
  <c r="K121" s="1"/>
  <c r="G122"/>
  <c r="K122" s="1"/>
  <c r="G123"/>
  <c r="K123" s="1"/>
  <c r="G124"/>
  <c r="K124" s="1"/>
  <c r="G125"/>
  <c r="K125" s="1"/>
  <c r="G126"/>
  <c r="K126" s="1"/>
  <c r="G127"/>
  <c r="K127" s="1"/>
  <c r="G128"/>
  <c r="K128" s="1"/>
  <c r="G119"/>
  <c r="K119" s="1"/>
  <c r="K83"/>
  <c r="K84"/>
  <c r="K85"/>
  <c r="K86"/>
  <c r="K87"/>
  <c r="K89"/>
  <c r="K91"/>
  <c r="I90"/>
  <c r="K90" s="1"/>
  <c r="I88"/>
  <c r="K88" s="1"/>
  <c r="K82"/>
  <c r="K95"/>
  <c r="K110"/>
  <c r="I113" s="1"/>
  <c r="K78"/>
  <c r="K77"/>
  <c r="K76"/>
  <c r="E54"/>
  <c r="K54" s="1"/>
  <c r="K55" s="1"/>
  <c r="E106"/>
  <c r="K106" s="1"/>
  <c r="K107" s="1"/>
  <c r="E62"/>
  <c r="K62" s="1"/>
  <c r="K63" s="1"/>
  <c r="E102"/>
  <c r="K102" s="1"/>
  <c r="K103" s="1"/>
  <c r="E98"/>
  <c r="K98" s="1"/>
  <c r="K99" s="1"/>
  <c r="E58"/>
  <c r="K58" s="1"/>
  <c r="K59" s="1"/>
  <c r="K129" l="1"/>
  <c r="K79"/>
  <c r="E113" s="1"/>
  <c r="K92"/>
  <c r="G113" s="1"/>
  <c r="K113" l="1"/>
  <c r="K114" s="1"/>
  <c r="K67" l="1"/>
  <c r="I70" s="1"/>
  <c r="K51"/>
  <c r="K46"/>
  <c r="K45"/>
  <c r="K44"/>
  <c r="K39"/>
  <c r="K40"/>
  <c r="K38"/>
  <c r="K32"/>
  <c r="K33"/>
  <c r="K31"/>
  <c r="M184"/>
  <c r="N184" s="1"/>
  <c r="M183"/>
  <c r="I212"/>
  <c r="K212" s="1"/>
  <c r="I211"/>
  <c r="K211" s="1"/>
  <c r="I210"/>
  <c r="K210" s="1"/>
  <c r="I209"/>
  <c r="K209" s="1"/>
  <c r="I205"/>
  <c r="K205" s="1"/>
  <c r="I204"/>
  <c r="K204" s="1"/>
  <c r="I203"/>
  <c r="K203" s="1"/>
  <c r="I202"/>
  <c r="K202" s="1"/>
  <c r="I201"/>
  <c r="K201" s="1"/>
  <c r="I200"/>
  <c r="K200" s="1"/>
  <c r="F229" i="49"/>
  <c r="F228"/>
  <c r="F227"/>
  <c r="A700" i="53"/>
  <c r="B700"/>
  <c r="C700"/>
  <c r="D700"/>
  <c r="K700"/>
  <c r="A704"/>
  <c r="B704"/>
  <c r="C704"/>
  <c r="D704"/>
  <c r="K704"/>
  <c r="K706"/>
  <c r="D706"/>
  <c r="C706"/>
  <c r="B706"/>
  <c r="A706"/>
  <c r="B708"/>
  <c r="C708"/>
  <c r="K708"/>
  <c r="D708"/>
  <c r="A708"/>
  <c r="F223" i="49"/>
  <c r="F222"/>
  <c r="F221"/>
  <c r="F220"/>
  <c r="F210"/>
  <c r="F209"/>
  <c r="F208"/>
  <c r="F207"/>
  <c r="F206"/>
  <c r="F205"/>
  <c r="F204"/>
  <c r="F203"/>
  <c r="F202"/>
  <c r="F201"/>
  <c r="F200"/>
  <c r="F199"/>
  <c r="F189"/>
  <c r="F188"/>
  <c r="F187"/>
  <c r="F186"/>
  <c r="F185"/>
  <c r="F184"/>
  <c r="F183"/>
  <c r="F182"/>
  <c r="F181"/>
  <c r="F180"/>
  <c r="F179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4"/>
  <c r="F150"/>
  <c r="F149"/>
  <c r="F148"/>
  <c r="F147"/>
  <c r="F146"/>
  <c r="F145"/>
  <c r="F144"/>
  <c r="F143"/>
  <c r="F141"/>
  <c r="F140"/>
  <c r="F139"/>
  <c r="F138"/>
  <c r="F137"/>
  <c r="F136"/>
  <c r="F135"/>
  <c r="F134"/>
  <c r="F133"/>
  <c r="F132"/>
  <c r="F131"/>
  <c r="F130"/>
  <c r="F129"/>
  <c r="F127"/>
  <c r="F125"/>
  <c r="F124"/>
  <c r="F123"/>
  <c r="F122"/>
  <c r="F121"/>
  <c r="F120"/>
  <c r="F115"/>
  <c r="F114"/>
  <c r="F112"/>
  <c r="F111"/>
  <c r="F109"/>
  <c r="F108"/>
  <c r="F107"/>
  <c r="F106"/>
  <c r="F105"/>
  <c r="F104"/>
  <c r="F103"/>
  <c r="F102"/>
  <c r="F101"/>
  <c r="F98"/>
  <c r="F97"/>
  <c r="F95"/>
  <c r="F94"/>
  <c r="A505" i="53"/>
  <c r="C505"/>
  <c r="D505"/>
  <c r="K505"/>
  <c r="K488"/>
  <c r="D488"/>
  <c r="C488"/>
  <c r="A488"/>
  <c r="K487"/>
  <c r="D487"/>
  <c r="C487"/>
  <c r="A487"/>
  <c r="B369"/>
  <c r="A597"/>
  <c r="B597"/>
  <c r="C597"/>
  <c r="D597"/>
  <c r="K597"/>
  <c r="A599"/>
  <c r="B599"/>
  <c r="C599"/>
  <c r="D599"/>
  <c r="K599"/>
  <c r="A603"/>
  <c r="B603"/>
  <c r="C603"/>
  <c r="D603"/>
  <c r="K603"/>
  <c r="A605"/>
  <c r="B605"/>
  <c r="C605"/>
  <c r="D605"/>
  <c r="K605"/>
  <c r="A607"/>
  <c r="B607"/>
  <c r="C607"/>
  <c r="D607"/>
  <c r="K607"/>
  <c r="A609"/>
  <c r="B609"/>
  <c r="C609"/>
  <c r="D609"/>
  <c r="K609"/>
  <c r="A611"/>
  <c r="B611"/>
  <c r="C611"/>
  <c r="D611"/>
  <c r="K611"/>
  <c r="A613"/>
  <c r="B613"/>
  <c r="C613"/>
  <c r="D613"/>
  <c r="K613"/>
  <c r="A615"/>
  <c r="B615"/>
  <c r="C615"/>
  <c r="D615"/>
  <c r="K615"/>
  <c r="A617"/>
  <c r="B617"/>
  <c r="C617"/>
  <c r="D617"/>
  <c r="K617"/>
  <c r="A619"/>
  <c r="B619"/>
  <c r="C619"/>
  <c r="D619"/>
  <c r="K619"/>
  <c r="A621"/>
  <c r="B621"/>
  <c r="C621"/>
  <c r="D621"/>
  <c r="K621"/>
  <c r="A623"/>
  <c r="B623"/>
  <c r="C623"/>
  <c r="D623"/>
  <c r="K623"/>
  <c r="A639"/>
  <c r="C639"/>
  <c r="D639"/>
  <c r="K639"/>
  <c r="A640"/>
  <c r="C640"/>
  <c r="D640"/>
  <c r="K640"/>
  <c r="A641"/>
  <c r="B641"/>
  <c r="C641"/>
  <c r="D641"/>
  <c r="K641"/>
  <c r="A643"/>
  <c r="B643"/>
  <c r="C643"/>
  <c r="D643"/>
  <c r="K643"/>
  <c r="A645"/>
  <c r="B645"/>
  <c r="C645"/>
  <c r="D645"/>
  <c r="K645"/>
  <c r="A647"/>
  <c r="B647"/>
  <c r="C647"/>
  <c r="D647"/>
  <c r="K647"/>
  <c r="A649"/>
  <c r="B649"/>
  <c r="C649"/>
  <c r="D649"/>
  <c r="K649"/>
  <c r="A651"/>
  <c r="B651"/>
  <c r="C651"/>
  <c r="D651"/>
  <c r="K651"/>
  <c r="A653"/>
  <c r="B653"/>
  <c r="C653"/>
  <c r="D653"/>
  <c r="K653"/>
  <c r="A655"/>
  <c r="B655"/>
  <c r="C655"/>
  <c r="D655"/>
  <c r="K655"/>
  <c r="A657"/>
  <c r="B657"/>
  <c r="C657"/>
  <c r="D657"/>
  <c r="K657"/>
  <c r="A659"/>
  <c r="B659"/>
  <c r="C659"/>
  <c r="D659"/>
  <c r="K659"/>
  <c r="A661"/>
  <c r="B661"/>
  <c r="C661"/>
  <c r="D661"/>
  <c r="K661"/>
  <c r="A663"/>
  <c r="B663"/>
  <c r="C663"/>
  <c r="D663"/>
  <c r="K663"/>
  <c r="A681"/>
  <c r="C681"/>
  <c r="D681"/>
  <c r="K681"/>
  <c r="A682"/>
  <c r="B682"/>
  <c r="C682"/>
  <c r="D682"/>
  <c r="K682"/>
  <c r="A684"/>
  <c r="B684"/>
  <c r="C684"/>
  <c r="D684"/>
  <c r="K684"/>
  <c r="A686"/>
  <c r="B686"/>
  <c r="C686"/>
  <c r="D686"/>
  <c r="K686"/>
  <c r="A688"/>
  <c r="B688"/>
  <c r="C688"/>
  <c r="D688"/>
  <c r="K688"/>
  <c r="A571"/>
  <c r="B571"/>
  <c r="C571"/>
  <c r="D571"/>
  <c r="K571"/>
  <c r="A573"/>
  <c r="B573"/>
  <c r="C573"/>
  <c r="D573"/>
  <c r="K573"/>
  <c r="A575"/>
  <c r="B575"/>
  <c r="C575"/>
  <c r="D575"/>
  <c r="K575"/>
  <c r="A577"/>
  <c r="B577"/>
  <c r="C577"/>
  <c r="D577"/>
  <c r="K577"/>
  <c r="A579"/>
  <c r="B579"/>
  <c r="C579"/>
  <c r="D579"/>
  <c r="K579"/>
  <c r="A581"/>
  <c r="B581"/>
  <c r="C581"/>
  <c r="D581"/>
  <c r="K581"/>
  <c r="A583"/>
  <c r="B583"/>
  <c r="C583"/>
  <c r="D583"/>
  <c r="K583"/>
  <c r="A585"/>
  <c r="B585"/>
  <c r="C585"/>
  <c r="D585"/>
  <c r="K585"/>
  <c r="A587"/>
  <c r="B587"/>
  <c r="C587"/>
  <c r="D587"/>
  <c r="K587"/>
  <c r="A589"/>
  <c r="B589"/>
  <c r="C589"/>
  <c r="D589"/>
  <c r="K589"/>
  <c r="A591"/>
  <c r="B591"/>
  <c r="C591"/>
  <c r="D591"/>
  <c r="K591"/>
  <c r="A593"/>
  <c r="B593"/>
  <c r="C593"/>
  <c r="D593"/>
  <c r="K593"/>
  <c r="A595"/>
  <c r="B595"/>
  <c r="C595"/>
  <c r="D595"/>
  <c r="K595"/>
  <c r="A366"/>
  <c r="B366"/>
  <c r="C366"/>
  <c r="D366"/>
  <c r="K366"/>
  <c r="A369"/>
  <c r="A370"/>
  <c r="B370"/>
  <c r="C370"/>
  <c r="D370"/>
  <c r="K370"/>
  <c r="A377"/>
  <c r="B377"/>
  <c r="C377"/>
  <c r="D377"/>
  <c r="K377"/>
  <c r="A379"/>
  <c r="C379"/>
  <c r="D379"/>
  <c r="K379"/>
  <c r="A380"/>
  <c r="C380"/>
  <c r="D380"/>
  <c r="K380"/>
  <c r="A381"/>
  <c r="B381"/>
  <c r="C381"/>
  <c r="D381"/>
  <c r="K381"/>
  <c r="A393"/>
  <c r="B393"/>
  <c r="C393"/>
  <c r="D393"/>
  <c r="K393"/>
  <c r="A405"/>
  <c r="B405"/>
  <c r="C405"/>
  <c r="D405"/>
  <c r="K405"/>
  <c r="A408"/>
  <c r="B408"/>
  <c r="C408"/>
  <c r="D408"/>
  <c r="K408"/>
  <c r="A420"/>
  <c r="B420"/>
  <c r="C420"/>
  <c r="D420"/>
  <c r="K420"/>
  <c r="A426"/>
  <c r="B426"/>
  <c r="C426"/>
  <c r="D426"/>
  <c r="K426"/>
  <c r="A435"/>
  <c r="B435"/>
  <c r="C435"/>
  <c r="D435"/>
  <c r="K435"/>
  <c r="A442"/>
  <c r="B442"/>
  <c r="C442"/>
  <c r="D442"/>
  <c r="K442"/>
  <c r="A447"/>
  <c r="B447"/>
  <c r="C447"/>
  <c r="D447"/>
  <c r="K447"/>
  <c r="A453"/>
  <c r="C453"/>
  <c r="D453"/>
  <c r="K453"/>
  <c r="A454"/>
  <c r="B454"/>
  <c r="C454"/>
  <c r="D454"/>
  <c r="K454"/>
  <c r="A460"/>
  <c r="B460"/>
  <c r="C460"/>
  <c r="D460"/>
  <c r="K460"/>
  <c r="A464"/>
  <c r="C464"/>
  <c r="D464"/>
  <c r="K464"/>
  <c r="A465"/>
  <c r="B465"/>
  <c r="C465"/>
  <c r="D465"/>
  <c r="K465"/>
  <c r="A471"/>
  <c r="B471"/>
  <c r="C471"/>
  <c r="D471"/>
  <c r="K471"/>
  <c r="A481"/>
  <c r="B481"/>
  <c r="C481"/>
  <c r="D481"/>
  <c r="K481"/>
  <c r="A486"/>
  <c r="C486"/>
  <c r="D486"/>
  <c r="K486"/>
  <c r="A489"/>
  <c r="B489"/>
  <c r="C489"/>
  <c r="D489"/>
  <c r="K489"/>
  <c r="A491"/>
  <c r="B491"/>
  <c r="C491"/>
  <c r="D491"/>
  <c r="K491"/>
  <c r="A493"/>
  <c r="B493"/>
  <c r="C493"/>
  <c r="D493"/>
  <c r="K493"/>
  <c r="A495"/>
  <c r="B495"/>
  <c r="C495"/>
  <c r="D495"/>
  <c r="K495"/>
  <c r="A497"/>
  <c r="B497"/>
  <c r="C497"/>
  <c r="D497"/>
  <c r="K497"/>
  <c r="A499"/>
  <c r="B499"/>
  <c r="C499"/>
  <c r="D499"/>
  <c r="K499"/>
  <c r="A503"/>
  <c r="B503"/>
  <c r="C503"/>
  <c r="D503"/>
  <c r="K503"/>
  <c r="A506"/>
  <c r="B506"/>
  <c r="C506"/>
  <c r="D506"/>
  <c r="K506"/>
  <c r="A508"/>
  <c r="B508"/>
  <c r="C508"/>
  <c r="D508"/>
  <c r="K508"/>
  <c r="A510"/>
  <c r="B510"/>
  <c r="C510"/>
  <c r="D510"/>
  <c r="K510"/>
  <c r="A512"/>
  <c r="B512"/>
  <c r="C512"/>
  <c r="D512"/>
  <c r="K512"/>
  <c r="A514"/>
  <c r="B514"/>
  <c r="C514"/>
  <c r="D514"/>
  <c r="K514"/>
  <c r="A516"/>
  <c r="B516"/>
  <c r="C516"/>
  <c r="D516"/>
  <c r="K516"/>
  <c r="A518"/>
  <c r="B518"/>
  <c r="C518"/>
  <c r="D518"/>
  <c r="K518"/>
  <c r="A520"/>
  <c r="B520"/>
  <c r="C520"/>
  <c r="D520"/>
  <c r="K520"/>
  <c r="A522"/>
  <c r="B522"/>
  <c r="C522"/>
  <c r="D522"/>
  <c r="K522"/>
  <c r="A524"/>
  <c r="B524"/>
  <c r="C524"/>
  <c r="D524"/>
  <c r="K524"/>
  <c r="A526"/>
  <c r="B526"/>
  <c r="C526"/>
  <c r="D526"/>
  <c r="K526"/>
  <c r="A528"/>
  <c r="B528"/>
  <c r="C528"/>
  <c r="D528"/>
  <c r="K528"/>
  <c r="A530"/>
  <c r="B530"/>
  <c r="C530"/>
  <c r="D530"/>
  <c r="K530"/>
  <c r="A532"/>
  <c r="C532"/>
  <c r="D532"/>
  <c r="K532"/>
  <c r="A533"/>
  <c r="B533"/>
  <c r="C533"/>
  <c r="D533"/>
  <c r="K533"/>
  <c r="A535"/>
  <c r="B535"/>
  <c r="C535"/>
  <c r="D535"/>
  <c r="K535"/>
  <c r="A537"/>
  <c r="B537"/>
  <c r="C537"/>
  <c r="D537"/>
  <c r="K537"/>
  <c r="A539"/>
  <c r="B539"/>
  <c r="C539"/>
  <c r="D539"/>
  <c r="K539"/>
  <c r="A541"/>
  <c r="B541"/>
  <c r="C541"/>
  <c r="D541"/>
  <c r="K541"/>
  <c r="A543"/>
  <c r="B543"/>
  <c r="C543"/>
  <c r="D543"/>
  <c r="K543"/>
  <c r="A545"/>
  <c r="B545"/>
  <c r="C545"/>
  <c r="D545"/>
  <c r="K545"/>
  <c r="A547"/>
  <c r="D547"/>
  <c r="K547"/>
  <c r="A555"/>
  <c r="D555"/>
  <c r="K555"/>
  <c r="A557"/>
  <c r="C557"/>
  <c r="D557"/>
  <c r="K557"/>
  <c r="A558"/>
  <c r="C558"/>
  <c r="D558"/>
  <c r="K558"/>
  <c r="A559"/>
  <c r="B559"/>
  <c r="C559"/>
  <c r="D559"/>
  <c r="K559"/>
  <c r="A561"/>
  <c r="B561"/>
  <c r="C561"/>
  <c r="D561"/>
  <c r="K561"/>
  <c r="A563"/>
  <c r="B563"/>
  <c r="C563"/>
  <c r="D563"/>
  <c r="K563"/>
  <c r="A565"/>
  <c r="B565"/>
  <c r="C565"/>
  <c r="D565"/>
  <c r="K565"/>
  <c r="A567"/>
  <c r="B567"/>
  <c r="C567"/>
  <c r="D567"/>
  <c r="K567"/>
  <c r="A569"/>
  <c r="B569"/>
  <c r="C569"/>
  <c r="D569"/>
  <c r="K569"/>
  <c r="K363"/>
  <c r="D363"/>
  <c r="C363"/>
  <c r="B363"/>
  <c r="A363"/>
  <c r="B362"/>
  <c r="A362"/>
  <c r="A344"/>
  <c r="B344"/>
  <c r="B345"/>
  <c r="A345"/>
  <c r="B326"/>
  <c r="A326"/>
  <c r="B318"/>
  <c r="A318"/>
  <c r="F67" i="49"/>
  <c r="F64"/>
  <c r="F61"/>
  <c r="F56"/>
  <c r="F43"/>
  <c r="F31"/>
  <c r="A36" i="53"/>
  <c r="B36"/>
  <c r="C36"/>
  <c r="D36"/>
  <c r="K36"/>
  <c r="A42"/>
  <c r="B42"/>
  <c r="C42"/>
  <c r="D42"/>
  <c r="K42"/>
  <c r="A48"/>
  <c r="B48"/>
  <c r="C48"/>
  <c r="D48"/>
  <c r="K48"/>
  <c r="A52"/>
  <c r="B52"/>
  <c r="C52"/>
  <c r="D52"/>
  <c r="K52"/>
  <c r="A56"/>
  <c r="B56"/>
  <c r="C56"/>
  <c r="D56"/>
  <c r="K56"/>
  <c r="A251"/>
  <c r="B251"/>
  <c r="C251"/>
  <c r="D251"/>
  <c r="K251"/>
  <c r="A253"/>
  <c r="B253"/>
  <c r="C253"/>
  <c r="D253"/>
  <c r="K253"/>
  <c r="A64"/>
  <c r="B64"/>
  <c r="C64"/>
  <c r="D64"/>
  <c r="K64"/>
  <c r="A68"/>
  <c r="B68"/>
  <c r="C68"/>
  <c r="D68"/>
  <c r="K68"/>
  <c r="A73"/>
  <c r="B73"/>
  <c r="A74"/>
  <c r="B74"/>
  <c r="D74"/>
  <c r="K74"/>
  <c r="A80"/>
  <c r="B80"/>
  <c r="C80"/>
  <c r="D80"/>
  <c r="K80"/>
  <c r="A93"/>
  <c r="B93"/>
  <c r="C93"/>
  <c r="D93"/>
  <c r="K93"/>
  <c r="A96"/>
  <c r="B96"/>
  <c r="C96"/>
  <c r="D96"/>
  <c r="K96"/>
  <c r="A100"/>
  <c r="B100"/>
  <c r="C100"/>
  <c r="D100"/>
  <c r="K100"/>
  <c r="A104"/>
  <c r="B104"/>
  <c r="C104"/>
  <c r="D104"/>
  <c r="K104"/>
  <c r="A108"/>
  <c r="B108"/>
  <c r="C108"/>
  <c r="D108"/>
  <c r="K108"/>
  <c r="A111"/>
  <c r="B111"/>
  <c r="C111"/>
  <c r="D111"/>
  <c r="K111"/>
  <c r="A116"/>
  <c r="B116"/>
  <c r="A117"/>
  <c r="B117"/>
  <c r="C117"/>
  <c r="D117"/>
  <c r="K117"/>
  <c r="A131"/>
  <c r="B131"/>
  <c r="A132"/>
  <c r="B132"/>
  <c r="A133"/>
  <c r="B133"/>
  <c r="C133"/>
  <c r="D133"/>
  <c r="K133"/>
  <c r="A136"/>
  <c r="B136"/>
  <c r="C136"/>
  <c r="D136"/>
  <c r="K136"/>
  <c r="A139"/>
  <c r="B139"/>
  <c r="C139"/>
  <c r="D139"/>
  <c r="K139"/>
  <c r="A143"/>
  <c r="B143"/>
  <c r="C143"/>
  <c r="D143"/>
  <c r="K143"/>
  <c r="A147"/>
  <c r="B147"/>
  <c r="C147"/>
  <c r="D147"/>
  <c r="K147"/>
  <c r="A151"/>
  <c r="B151"/>
  <c r="C151"/>
  <c r="D151"/>
  <c r="K151"/>
  <c r="A155"/>
  <c r="B155"/>
  <c r="C155"/>
  <c r="D155"/>
  <c r="K155"/>
  <c r="A158"/>
  <c r="B158"/>
  <c r="C158"/>
  <c r="D158"/>
  <c r="K158"/>
  <c r="B176"/>
  <c r="A177"/>
  <c r="B177"/>
  <c r="A178"/>
  <c r="B178"/>
  <c r="C178"/>
  <c r="D178"/>
  <c r="K178"/>
  <c r="A198"/>
  <c r="B198"/>
  <c r="C198"/>
  <c r="D198"/>
  <c r="K198"/>
  <c r="A207"/>
  <c r="B207"/>
  <c r="C207"/>
  <c r="D207"/>
  <c r="K207"/>
  <c r="A215"/>
  <c r="B215"/>
  <c r="A216"/>
  <c r="B216"/>
  <c r="C216"/>
  <c r="D216"/>
  <c r="K216"/>
  <c r="A221"/>
  <c r="B221"/>
  <c r="C221"/>
  <c r="D221"/>
  <c r="K221"/>
  <c r="A226"/>
  <c r="B226"/>
  <c r="A227"/>
  <c r="B227"/>
  <c r="C227"/>
  <c r="D227"/>
  <c r="K227"/>
  <c r="A229"/>
  <c r="B229"/>
  <c r="C229"/>
  <c r="D229"/>
  <c r="K229"/>
  <c r="A232"/>
  <c r="B232"/>
  <c r="A233"/>
  <c r="B233"/>
  <c r="C233"/>
  <c r="D233"/>
  <c r="K233"/>
  <c r="A237"/>
  <c r="B237"/>
  <c r="C237"/>
  <c r="D237"/>
  <c r="K237"/>
  <c r="A241"/>
  <c r="B241"/>
  <c r="C241"/>
  <c r="D241"/>
  <c r="K241"/>
  <c r="A247"/>
  <c r="B247"/>
  <c r="C247"/>
  <c r="D247"/>
  <c r="K247"/>
  <c r="K60"/>
  <c r="D60"/>
  <c r="C60"/>
  <c r="B60"/>
  <c r="A60"/>
  <c r="L697"/>
  <c r="L696"/>
  <c r="B299"/>
  <c r="C299"/>
  <c r="B289"/>
  <c r="C289"/>
  <c r="A299"/>
  <c r="A289"/>
  <c r="K691"/>
  <c r="D691"/>
  <c r="B691"/>
  <c r="C691"/>
  <c r="A691"/>
  <c r="C358"/>
  <c r="B358"/>
  <c r="K358"/>
  <c r="D358"/>
  <c r="A358"/>
  <c r="K354"/>
  <c r="D354"/>
  <c r="B354"/>
  <c r="C354"/>
  <c r="A354"/>
  <c r="K350"/>
  <c r="D350"/>
  <c r="B350"/>
  <c r="C350"/>
  <c r="A350"/>
  <c r="K346"/>
  <c r="D346"/>
  <c r="B346"/>
  <c r="C346"/>
  <c r="A346"/>
  <c r="K338"/>
  <c r="D338"/>
  <c r="B338"/>
  <c r="C338"/>
  <c r="A338"/>
  <c r="K333"/>
  <c r="D333"/>
  <c r="B333"/>
  <c r="C333"/>
  <c r="A333"/>
  <c r="K336"/>
  <c r="F85" i="49" s="1"/>
  <c r="K713" i="53"/>
  <c r="F231" i="49" s="1"/>
  <c r="K327" i="53"/>
  <c r="D327"/>
  <c r="B327"/>
  <c r="C327"/>
  <c r="K319"/>
  <c r="D319"/>
  <c r="B319"/>
  <c r="C319"/>
  <c r="K306"/>
  <c r="D306"/>
  <c r="K282"/>
  <c r="D282"/>
  <c r="D270"/>
  <c r="B306"/>
  <c r="C306"/>
  <c r="B282"/>
  <c r="C282"/>
  <c r="B270"/>
  <c r="A327"/>
  <c r="A319"/>
  <c r="A306"/>
  <c r="A282"/>
  <c r="A270"/>
  <c r="K270"/>
  <c r="C270"/>
  <c r="A1" i="54"/>
  <c r="A5"/>
  <c r="A6"/>
  <c r="C17"/>
  <c r="C25" s="1"/>
  <c r="C14"/>
  <c r="C24" s="1"/>
  <c r="E20" i="52"/>
  <c r="G20" s="1"/>
  <c r="B18" i="50"/>
  <c r="B16"/>
  <c r="B14"/>
  <c r="B12"/>
  <c r="H5" i="53"/>
  <c r="A8"/>
  <c r="A7"/>
  <c r="A6"/>
  <c r="A5"/>
  <c r="A1"/>
  <c r="F75" i="49"/>
  <c r="F18"/>
  <c r="F14"/>
  <c r="B18" i="53"/>
  <c r="A18"/>
  <c r="K23"/>
  <c r="F17" i="49" s="1"/>
  <c r="K25" i="53"/>
  <c r="B25"/>
  <c r="K29"/>
  <c r="D29"/>
  <c r="C29"/>
  <c r="B29"/>
  <c r="K289"/>
  <c r="D289"/>
  <c r="K299"/>
  <c r="D299"/>
  <c r="B257"/>
  <c r="C257"/>
  <c r="D257"/>
  <c r="K257"/>
  <c r="B695"/>
  <c r="C695"/>
  <c r="D695"/>
  <c r="K695"/>
  <c r="K711"/>
  <c r="D711"/>
  <c r="C711"/>
  <c r="B711"/>
  <c r="K21"/>
  <c r="B21"/>
  <c r="K18"/>
  <c r="D18"/>
  <c r="B690"/>
  <c r="B256"/>
  <c r="B28"/>
  <c r="B17"/>
  <c r="A256"/>
  <c r="A257"/>
  <c r="A690"/>
  <c r="A695"/>
  <c r="A711"/>
  <c r="A17"/>
  <c r="A21"/>
  <c r="A25"/>
  <c r="A28"/>
  <c r="A29"/>
  <c r="K14"/>
  <c r="B14"/>
  <c r="A14"/>
  <c r="B13"/>
  <c r="A13"/>
  <c r="B12"/>
  <c r="A7" i="50"/>
  <c r="D25" i="53"/>
  <c r="C25"/>
  <c r="D21"/>
  <c r="C21"/>
  <c r="D14"/>
  <c r="C14"/>
  <c r="G25" i="52"/>
  <c r="G24"/>
  <c r="G21"/>
  <c r="G17"/>
  <c r="G16"/>
  <c r="G15"/>
  <c r="G14"/>
  <c r="G13"/>
  <c r="G12"/>
  <c r="G11"/>
  <c r="I10" i="49" l="1"/>
  <c r="K47" i="53"/>
  <c r="G70" s="1"/>
  <c r="K41"/>
  <c r="F22" i="49" s="1"/>
  <c r="K206" i="53"/>
  <c r="K213"/>
  <c r="F32" i="49"/>
  <c r="F65"/>
  <c r="F86"/>
  <c r="K331" i="53"/>
  <c r="K324"/>
  <c r="K316"/>
  <c r="K359" s="1"/>
  <c r="K360" s="1"/>
  <c r="F92" i="49" s="1"/>
  <c r="K280" i="53"/>
  <c r="K287"/>
  <c r="F226" i="49"/>
  <c r="K34" i="53"/>
  <c r="G19" i="52"/>
  <c r="G14" i="49" s="1"/>
  <c r="I14" s="1"/>
  <c r="G23" i="52"/>
  <c r="G18" i="49" s="1"/>
  <c r="G10" i="52"/>
  <c r="G17" i="49" s="1"/>
  <c r="E6" i="52"/>
  <c r="I151" i="49" l="1"/>
  <c r="I152"/>
  <c r="I153"/>
  <c r="I154"/>
  <c r="I178"/>
  <c r="I126"/>
  <c r="I221"/>
  <c r="I61"/>
  <c r="I107"/>
  <c r="I167"/>
  <c r="I92"/>
  <c r="I62"/>
  <c r="I120"/>
  <c r="I180"/>
  <c r="I89"/>
  <c r="I31"/>
  <c r="I116"/>
  <c r="I166"/>
  <c r="I202"/>
  <c r="I75"/>
  <c r="I225"/>
  <c r="I127"/>
  <c r="I136"/>
  <c r="I179"/>
  <c r="I50"/>
  <c r="I25"/>
  <c r="I176"/>
  <c r="I90"/>
  <c r="I84"/>
  <c r="J84" s="1"/>
  <c r="I130"/>
  <c r="I203"/>
  <c r="I228"/>
  <c r="I34"/>
  <c r="I230"/>
  <c r="I163"/>
  <c r="I209"/>
  <c r="I214"/>
  <c r="I108"/>
  <c r="I165"/>
  <c r="I21"/>
  <c r="I226"/>
  <c r="I173"/>
  <c r="I86"/>
  <c r="I158"/>
  <c r="I147"/>
  <c r="I82"/>
  <c r="I85"/>
  <c r="I188"/>
  <c r="I220"/>
  <c r="I23"/>
  <c r="I131"/>
  <c r="I65"/>
  <c r="I141"/>
  <c r="I95"/>
  <c r="I43"/>
  <c r="I200"/>
  <c r="I124"/>
  <c r="I193"/>
  <c r="I207"/>
  <c r="I222"/>
  <c r="I133"/>
  <c r="I51"/>
  <c r="I148"/>
  <c r="I52"/>
  <c r="I64"/>
  <c r="I191"/>
  <c r="I227"/>
  <c r="I150"/>
  <c r="I69"/>
  <c r="I135"/>
  <c r="I213"/>
  <c r="I106"/>
  <c r="I177"/>
  <c r="I94"/>
  <c r="I174"/>
  <c r="I24"/>
  <c r="I169"/>
  <c r="I35"/>
  <c r="I160"/>
  <c r="I44"/>
  <c r="I140"/>
  <c r="I223"/>
  <c r="I134"/>
  <c r="I199"/>
  <c r="I53"/>
  <c r="I192"/>
  <c r="I229"/>
  <c r="I171"/>
  <c r="I47"/>
  <c r="I70"/>
  <c r="I121"/>
  <c r="I210"/>
  <c r="I115"/>
  <c r="I175"/>
  <c r="I114"/>
  <c r="I204"/>
  <c r="I98"/>
  <c r="I168"/>
  <c r="I36"/>
  <c r="I161"/>
  <c r="I45"/>
  <c r="I149"/>
  <c r="I68"/>
  <c r="I76"/>
  <c r="I57"/>
  <c r="I109"/>
  <c r="I181"/>
  <c r="I26"/>
  <c r="I164"/>
  <c r="I37"/>
  <c r="I162"/>
  <c r="I46"/>
  <c r="I190"/>
  <c r="I218"/>
  <c r="I231"/>
  <c r="I104"/>
  <c r="I184"/>
  <c r="I29"/>
  <c r="I172"/>
  <c r="I48"/>
  <c r="I129"/>
  <c r="I71"/>
  <c r="I137"/>
  <c r="I72"/>
  <c r="I138"/>
  <c r="I211"/>
  <c r="I122"/>
  <c r="I205"/>
  <c r="I97"/>
  <c r="I186"/>
  <c r="I27"/>
  <c r="I170"/>
  <c r="I40"/>
  <c r="I196"/>
  <c r="I217"/>
  <c r="I77"/>
  <c r="I112"/>
  <c r="I208"/>
  <c r="I105"/>
  <c r="I189"/>
  <c r="I32"/>
  <c r="I144"/>
  <c r="I58"/>
  <c r="I145"/>
  <c r="I59"/>
  <c r="I146"/>
  <c r="I67"/>
  <c r="I132"/>
  <c r="I201"/>
  <c r="I102"/>
  <c r="I182"/>
  <c r="I103"/>
  <c r="I187"/>
  <c r="I38"/>
  <c r="I195"/>
  <c r="I216"/>
  <c r="I80"/>
  <c r="I91"/>
  <c r="I125"/>
  <c r="I212"/>
  <c r="I111"/>
  <c r="I185"/>
  <c r="I22"/>
  <c r="I157"/>
  <c r="I33"/>
  <c r="I143"/>
  <c r="I49"/>
  <c r="I159"/>
  <c r="I56"/>
  <c r="I139"/>
  <c r="I123"/>
  <c r="I206"/>
  <c r="I101"/>
  <c r="I183"/>
  <c r="I28"/>
  <c r="I194"/>
  <c r="I215"/>
  <c r="F82"/>
  <c r="K709" i="53"/>
  <c r="F230" i="49" s="1"/>
  <c r="F80"/>
  <c r="K351" i="53"/>
  <c r="K352" s="1"/>
  <c r="F90" i="49" s="1"/>
  <c r="F77"/>
  <c r="F21"/>
  <c r="E70" i="53"/>
  <c r="K70" s="1"/>
  <c r="K71" s="1"/>
  <c r="F59" i="49"/>
  <c r="F58"/>
  <c r="F62"/>
  <c r="F40"/>
  <c r="F23"/>
  <c r="F44"/>
  <c r="F68"/>
  <c r="F76"/>
  <c r="F84"/>
  <c r="F225"/>
  <c r="J224" l="1"/>
  <c r="E32" i="50" s="1"/>
  <c r="J118" i="49"/>
  <c r="J155"/>
  <c r="F33"/>
  <c r="F69"/>
  <c r="F45"/>
  <c r="F24"/>
  <c r="F34"/>
  <c r="K297" i="53"/>
  <c r="A5" i="50"/>
  <c r="A5" i="52" s="1"/>
  <c r="G6" i="50"/>
  <c r="A9"/>
  <c r="A9" i="52" s="1"/>
  <c r="A8" i="50"/>
  <c r="A8" i="52" s="1"/>
  <c r="A7"/>
  <c r="A6" i="50"/>
  <c r="A6" i="52" s="1"/>
  <c r="A1" i="50"/>
  <c r="A1" i="52" s="1"/>
  <c r="J117" i="49" l="1"/>
  <c r="E30" i="50" s="1"/>
  <c r="J54" i="49"/>
  <c r="E22" i="50" s="1"/>
  <c r="J33"/>
  <c r="K347" i="53"/>
  <c r="K348" s="1"/>
  <c r="F89" i="49" s="1"/>
  <c r="K355" i="53"/>
  <c r="K356" s="1"/>
  <c r="F91" i="49" s="1"/>
  <c r="F46"/>
  <c r="F35"/>
  <c r="F25"/>
  <c r="F70"/>
  <c r="F79"/>
  <c r="F78"/>
  <c r="I18"/>
  <c r="I78"/>
  <c r="I79"/>
  <c r="I17"/>
  <c r="H11"/>
  <c r="G11"/>
  <c r="J31" i="50" l="1"/>
  <c r="H31"/>
  <c r="I31"/>
  <c r="F36" i="49"/>
  <c r="F26"/>
  <c r="F72"/>
  <c r="F71"/>
  <c r="F47"/>
  <c r="J13"/>
  <c r="J73" l="1"/>
  <c r="E26" i="50" s="1"/>
  <c r="J66" i="49"/>
  <c r="E24" i="50" s="1"/>
  <c r="F48" i="49"/>
  <c r="F27"/>
  <c r="F38"/>
  <c r="F37"/>
  <c r="E14" i="50"/>
  <c r="H27" l="1"/>
  <c r="J27"/>
  <c r="I27"/>
  <c r="I25"/>
  <c r="J15"/>
  <c r="H15"/>
  <c r="G15"/>
  <c r="I15"/>
  <c r="F29" i="49"/>
  <c r="F28"/>
  <c r="J19" l="1"/>
  <c r="E18" i="50" s="1"/>
  <c r="F50" i="49"/>
  <c r="F49"/>
  <c r="J41" l="1"/>
  <c r="E20" i="50" s="1"/>
  <c r="I16" i="49"/>
  <c r="J16" l="1"/>
  <c r="J15" s="1"/>
  <c r="E16" i="50" s="1"/>
  <c r="G17" s="1"/>
  <c r="G21"/>
  <c r="G36" l="1"/>
  <c r="G38"/>
  <c r="H17"/>
  <c r="I17"/>
  <c r="J17"/>
  <c r="C18" i="53" l="1"/>
  <c r="B27" i="52"/>
  <c r="F116" i="49"/>
  <c r="J99" s="1"/>
  <c r="J233" l="1"/>
  <c r="J12"/>
  <c r="E28" i="50"/>
  <c r="I29" l="1"/>
  <c r="I36" s="1"/>
  <c r="E12"/>
  <c r="G35" s="1"/>
  <c r="J29"/>
  <c r="J36" s="1"/>
  <c r="H29"/>
  <c r="H36" s="1"/>
  <c r="J35" l="1"/>
  <c r="J12" s="1"/>
  <c r="I35"/>
  <c r="I12" s="1"/>
  <c r="H35"/>
  <c r="H12" s="1"/>
  <c r="H38"/>
  <c r="I38" s="1"/>
  <c r="J38" s="1"/>
  <c r="D35" s="1"/>
  <c r="G12"/>
  <c r="G37"/>
  <c r="H37" l="1"/>
  <c r="I37" s="1"/>
  <c r="J37" s="1"/>
</calcChain>
</file>

<file path=xl/sharedStrings.xml><?xml version="1.0" encoding="utf-8"?>
<sst xmlns="http://schemas.openxmlformats.org/spreadsheetml/2006/main" count="2082" uniqueCount="883">
  <si>
    <t>PLANILHA ORÇAMENTÁRIA DE CUSTOS</t>
  </si>
  <si>
    <t>FOLHA Nº: 01/01</t>
  </si>
  <si>
    <t xml:space="preserve">ISS:  </t>
  </si>
  <si>
    <t xml:space="preserve">FORMA DE EXECUÇÃO: </t>
  </si>
  <si>
    <t xml:space="preserve">                  (    )                </t>
  </si>
  <si>
    <t>DIRETA</t>
  </si>
  <si>
    <t>(X)               INDIRETA</t>
  </si>
  <si>
    <t xml:space="preserve">     BDI=                                 </t>
  </si>
  <si>
    <t>SERVIÇOS PRELIMINARES</t>
  </si>
  <si>
    <t>M3</t>
  </si>
  <si>
    <t>M2</t>
  </si>
  <si>
    <t>M</t>
  </si>
  <si>
    <t xml:space="preserve">UN </t>
  </si>
  <si>
    <t>204.411/D</t>
  </si>
  <si>
    <t>Item</t>
  </si>
  <si>
    <t>Fonte</t>
  </si>
  <si>
    <t>Código</t>
  </si>
  <si>
    <t>Descrição</t>
  </si>
  <si>
    <t>Unidade</t>
  </si>
  <si>
    <t>Quant.</t>
  </si>
  <si>
    <t>Preço Unitário (com BDI) (R$)</t>
  </si>
  <si>
    <t>Preço Total
(R$)</t>
  </si>
  <si>
    <t>SINAPI</t>
  </si>
  <si>
    <t>ADMINISTRAÇÃO LOCAL</t>
  </si>
  <si>
    <t>Composição</t>
  </si>
  <si>
    <t>MÊS</t>
  </si>
  <si>
    <t>BDI 1</t>
  </si>
  <si>
    <t>PLACA DE OBRA EM CHAPA DE ACO GALVANIZADO  CONFORME MANUAL DE PLACAS</t>
  </si>
  <si>
    <t>CREA MG</t>
  </si>
  <si>
    <t>CRONOGRAMA FÍSICO-FINANCEIRO</t>
  </si>
  <si>
    <t>Valor (R$)</t>
  </si>
  <si>
    <t>Parcelas:</t>
  </si>
  <si>
    <t>% Período:</t>
  </si>
  <si>
    <t/>
  </si>
  <si>
    <t>Total:</t>
  </si>
  <si>
    <t>%:</t>
  </si>
  <si>
    <t>Investimento:</t>
  </si>
  <si>
    <t>PLANILHA COMPOSIÇÕES DE CUSTO</t>
  </si>
  <si>
    <t>COMPOSIÇÃO</t>
  </si>
  <si>
    <t>SINAPI-I</t>
  </si>
  <si>
    <t>4417</t>
  </si>
  <si>
    <t xml:space="preserve">SARRAFO NAO APARELHADO *2,5 X 7* CM, EM MACARANDUBA, ANGELIM OU EQUIVALENTE DA REGIAO -  BRUTA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</si>
  <si>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     </t>
  </si>
  <si>
    <t>4491</t>
  </si>
  <si>
    <t xml:space="preserve">PONTALETE *7,5 X 7,5* CM EM PINUS, MISTA OU EQUIVALENTE DA REGIAO - BRUTA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</si>
  <si>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4813</t>
  </si>
  <si>
    <t xml:space="preserve">PLACA DE OBRA (PARA CONSTRUCAO CIVIL) EM CHAPA GALVANIZADA *N. 22*, ADESIVADA, DE *2,4 X 1,2* M (SEM POSTES PARA FIXACAO)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</si>
  <si>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M2    </t>
  </si>
  <si>
    <t>5075</t>
  </si>
  <si>
    <t xml:space="preserve">PREGO DE ACO POLIDO COM CABECA 18 X 30 (2 3/4 X 10)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</si>
  <si>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KG    </t>
  </si>
  <si>
    <t>88262</t>
  </si>
  <si>
    <t>CARPINTEIRO DE FORMAS COM ENCARGOS COMPLEMENTARES</t>
  </si>
  <si>
    <t>H</t>
  </si>
  <si>
    <t>88316</t>
  </si>
  <si>
    <t>SERVENTE COM ENCARGOS COMPLEMENTARES</t>
  </si>
  <si>
    <t>94962</t>
  </si>
  <si>
    <t>CONCRETO MAGRO PARA LASTRO, TRAÇO 1:4,5:4,5 (EM MASSA SECA DE CIMENTO/ AREIA MÉDIA/ BRITA 1) - PREPARO MECÂNICO COM BETONEIRA 400 L. AF_05/2021</t>
  </si>
  <si>
    <t>93565</t>
  </si>
  <si>
    <t>ENGENHEIRO CIVIL DE OBRA JUNIOR COM ENCARGOS COMPLEMENTARES</t>
  </si>
  <si>
    <t>MES</t>
  </si>
  <si>
    <t>93572</t>
  </si>
  <si>
    <t>ENCARREGADO GERAL DE OBRAS COM ENCARGOS COMPLEMENTARES</t>
  </si>
  <si>
    <t xml:space="preserve">UN    </t>
  </si>
  <si>
    <t xml:space="preserve">MES   </t>
  </si>
  <si>
    <t>ED-50137</t>
  </si>
  <si>
    <t>MOBILIZAÇÃO E DESMOBILIZAÇÃO DE CONTAINER, INCLUSIVE CARGA, DESCARGA E TRANSPORTE EM CAMINHÃO CARROCERIA COM GUINDAUTO (MUNCK), EXCLUSIVE LOCAÇÃO DO CONTAINER</t>
  </si>
  <si>
    <t>ED-16350</t>
  </si>
  <si>
    <t xml:space="preserve">LOCAÇÃO DE CONTAINER COM ISOLAMENTO TÉRMICO, TIPO 3,
PARA DEPÓSITO/FERRAMENTARIA DE OBRA, COM MEDIDAS
REFERENCIAIS DE (6) METROS COMPRIMENTO, (2,3) METROS
LARGURA E (2,5) METROS ALTURA ÚTIL INTERNA, INCLUSIVE
LIGAÇÕES ELÉTRICAS INTERNAS, EXCLUSIVE MOBILIZAÇÃO/
DESMOBILIZAÇÃO E LIGAÇÕES PROVISÓRIAS EXTERNAS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</si>
  <si>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LOCACAO, MOBILIZAÇÃO E DESMOBILIZAÇÃO DE CONTAINER 2,30 X 6,00 M, ALT. 2,50 M, COM 1 SANITARIO, PARA ESCRITORIO, COMPLETO, SEM DIVISORIAS INTERNAS (INCLUI MOBILIZACAO/ DESMOBILIZACAO), NÃO INCLUI LIGAÇÕES PROVISÓRIAS</t>
  </si>
  <si>
    <t>Total =</t>
  </si>
  <si>
    <t>CPU-005</t>
  </si>
  <si>
    <t>KG</t>
  </si>
  <si>
    <t>ED-50392</t>
  </si>
  <si>
    <t>MOBILIZAÇÃO E DESMOBILIZAÇÃO DE OBRA EM CENTRO URBANO OU REGIÃO LIMÍTROFE COM VALOR ATÉ O VALOR DE 1.000.000,00</t>
  </si>
  <si>
    <t>MEMÓRIA DE CÁLCULO</t>
  </si>
  <si>
    <t>ITEM</t>
  </si>
  <si>
    <t>CÓDIGO</t>
  </si>
  <si>
    <t>DESCRIÇÃO</t>
  </si>
  <si>
    <t>Comp. (m)</t>
  </si>
  <si>
    <t>Alt. (m)</t>
  </si>
  <si>
    <t>Total</t>
  </si>
  <si>
    <t>x</t>
  </si>
  <si>
    <t>=</t>
  </si>
  <si>
    <t>Larg. (m)</t>
  </si>
  <si>
    <t>Área (m²)</t>
  </si>
  <si>
    <t>Eng. Civil João Paulo Silva Rodrigues</t>
  </si>
  <si>
    <t>BDI SERVIÇOS(CONFORME ACÓRDÃO Nº 2622/13 e LEI Nº 13.161 DE 31/08/15)</t>
  </si>
  <si>
    <t>DISCRIMINAÇÃO DAS PARCELAS</t>
  </si>
  <si>
    <t>SIGLA</t>
  </si>
  <si>
    <t>PERCENTUAL DE INCIDÊNCIA</t>
  </si>
  <si>
    <t>INCIDÊNCIA</t>
  </si>
  <si>
    <t>CUSTO DIRETO</t>
  </si>
  <si>
    <t>CD</t>
  </si>
  <si>
    <t>ADMINISTRAÇÃO CENTRAL</t>
  </si>
  <si>
    <t>AC</t>
  </si>
  <si>
    <t>LUCRO</t>
  </si>
  <si>
    <t>L</t>
  </si>
  <si>
    <t>DESPESAS FINANCEIRAS</t>
  </si>
  <si>
    <t>DF</t>
  </si>
  <si>
    <t>SEGUROS, GARANTIAS E RISCO</t>
  </si>
  <si>
    <t>(S + R)</t>
  </si>
  <si>
    <t>SEGUROS + GARANTIAS</t>
  </si>
  <si>
    <t>S</t>
  </si>
  <si>
    <t>RISCO</t>
  </si>
  <si>
    <t>R</t>
  </si>
  <si>
    <t>TRIBUTOS</t>
  </si>
  <si>
    <t>I</t>
  </si>
  <si>
    <t>PV</t>
  </si>
  <si>
    <t>ISS</t>
  </si>
  <si>
    <t>PIS</t>
  </si>
  <si>
    <t>COFINS</t>
  </si>
  <si>
    <t>CPRB</t>
  </si>
  <si>
    <t>INSS</t>
  </si>
  <si>
    <t>FÓRMULA DO BDI</t>
  </si>
  <si>
    <t>(1 + (AC + S + G + R)) x (1 + DF) x  (1 + L)</t>
  </si>
  <si>
    <t>(1 - (I + CPRB))</t>
  </si>
  <si>
    <t>CÁLCULO DO BDI</t>
  </si>
  <si>
    <t>BDI      =</t>
  </si>
  <si>
    <r>
      <rPr>
        <b/>
        <sz val="8"/>
        <rFont val="Arial Narrow"/>
        <family val="2"/>
      </rPr>
      <t>AC | Administração Central</t>
    </r>
    <r>
      <rPr>
        <sz val="8"/>
        <rFont val="Arial Narrow"/>
        <family val="2"/>
      </rPr>
      <t xml:space="preserve"> - Percentual incluído no contrato para suprir gastos gerais que a empresa efetua com a sua administração, tais como: aluguel da sede, salários dos funcionários da sede, material de expediente, entre outros.</t>
    </r>
  </si>
  <si>
    <r>
      <rPr>
        <b/>
        <sz val="8"/>
        <rFont val="Arial Narrow"/>
        <family val="2"/>
      </rPr>
      <t>DF | Despesas Financeiras</t>
    </r>
    <r>
      <rPr>
        <sz val="8"/>
        <rFont val="Arial Narrow"/>
        <family val="2"/>
      </rPr>
      <t xml:space="preserve"> - Despesas financeiras são gastos relacionados à perda monetária decorrente da defasagem entre a data do efetivo desembolso e a data da receita correspondente.</t>
    </r>
  </si>
  <si>
    <r>
      <rPr>
        <b/>
        <sz val="8"/>
        <rFont val="Arial Narrow"/>
        <family val="2"/>
      </rPr>
      <t>R | Garantias, Riscos, Seguros e Imprevistos</t>
    </r>
    <r>
      <rPr>
        <sz val="8"/>
        <rFont val="Arial Narrow"/>
        <family val="2"/>
      </rPr>
      <t xml:space="preserve"> - Percentual incluído no contrato para suprir gastos com imprevistos, riscos etc.</t>
    </r>
  </si>
  <si>
    <r>
      <rPr>
        <b/>
        <sz val="8"/>
        <rFont val="Arial Narrow"/>
        <family val="2"/>
      </rPr>
      <t>L | Lucro</t>
    </r>
    <r>
      <rPr>
        <sz val="8"/>
        <rFont val="Arial Narrow"/>
        <family val="2"/>
      </rPr>
      <t xml:space="preserve"> - Percentual incluído no contrato referente ao lucro pretendido.</t>
    </r>
  </si>
  <si>
    <r>
      <rPr>
        <b/>
        <sz val="8"/>
        <rFont val="Arial Narrow"/>
        <family val="2"/>
      </rPr>
      <t>T | Tributos</t>
    </r>
    <r>
      <rPr>
        <sz val="8"/>
        <rFont val="Arial Narrow"/>
        <family val="2"/>
      </rPr>
      <t xml:space="preserve"> - Somatório do COFINS, PIS, ISS e INSS</t>
    </r>
  </si>
  <si>
    <t>ENG. CIVIL JOÃO PAULO SILVA RODRIGUES</t>
  </si>
  <si>
    <t>CREA-MG</t>
  </si>
  <si>
    <t>Área</t>
  </si>
  <si>
    <t>-</t>
  </si>
  <si>
    <t>PREPARO DE FUNDO DE VALA COM LARGURA MENOR QUE 1,5 M (ACERTO DO SOLO NATURAL). AF_08/2020</t>
  </si>
  <si>
    <t>Esp. (m)</t>
  </si>
  <si>
    <t>FUNDAÇÕES</t>
  </si>
  <si>
    <t>SAPATA</t>
  </si>
  <si>
    <t>93358</t>
  </si>
  <si>
    <t>ESCAVAÇÃO MANUAL DE VALA. AF_09/2024</t>
  </si>
  <si>
    <t>101616</t>
  </si>
  <si>
    <t>96619</t>
  </si>
  <si>
    <t>LASTRO DE CONCRETO MAGRO, APLICADO EM BLOCOS DE COROAMENTO OU SAPATAS, ESPESSURA DE 5 CM. AF_01/2024</t>
  </si>
  <si>
    <t>96541</t>
  </si>
  <si>
    <t>FABRICAÇÃO, MONTAGEM E DESMONTAGEM DE FÔRMA PARA SAPATA, EM CHAPA DE MADEIRA COMPENSADA RESINADA, E=17 MM, 4 UTILIZAÇÕES. AF_01/2024</t>
  </si>
  <si>
    <t>104919</t>
  </si>
  <si>
    <t>ARMAÇÃO DE SAPATA ISOLADA, VIGA BALDRAME E SAPATA CORRIDA UTILIZANDO AÇO CA-50 DE 10 MM - MONTAGEM. AF_01/2024</t>
  </si>
  <si>
    <t>104917</t>
  </si>
  <si>
    <t>ARMAÇÃO DE SAPATA ISOLADA, VIGA BALDRAME E SAPATA CORRIDA UTILIZANDO AÇO CA-50 DE 6,3 MM - MONTAGEM. AF_01/2024</t>
  </si>
  <si>
    <t>104916</t>
  </si>
  <si>
    <t>ARMAÇÃO DE SAPATA ISOLADA, VIGA BALDRAME E SAPATA CORRIDA UTILIZANDO AÇO CA-60 DE 5 MM - MONTAGEM. AF_01/2024</t>
  </si>
  <si>
    <t>104737</t>
  </si>
  <si>
    <t>REATERRO MANUAL DE VALAS, COM PLACA VIBRATÓRIA. AF_08/2023</t>
  </si>
  <si>
    <t>BALDRAME</t>
  </si>
  <si>
    <t>96527</t>
  </si>
  <si>
    <t>96536</t>
  </si>
  <si>
    <t>104918</t>
  </si>
  <si>
    <t>ESCAVAÇÃO MANUAL PARA VIGA BALDRAME OU SAPATA CORRIDA (INCLUINDO ESCAVAÇÃO PARA COLOCAÇÃO DE FÔRMAS). AF_01/2024</t>
  </si>
  <si>
    <t>FABRICAÇÃO, MONTAGEM E DESMONTAGEM DE FÔRMA PARA VIGA BALDRAME, EM MADEIRA SERRADA, E=25 MM, 4 UTILIZAÇÕES. AF_01/2024</t>
  </si>
  <si>
    <t>ARMAÇÃO DE SAPATA ISOLADA, VIGA BALDRAME E SAPATA CORRIDA UTILIZANDO AÇO CA-50 DE 8 MM - MONTAGEM. AF_01/2024</t>
  </si>
  <si>
    <t>98557</t>
  </si>
  <si>
    <t>IMPERMEABILIZAÇÃO DE SUPERFÍCIE COM EMULSÃO ASFÁLTICA, 2 DEMÃOS. AF_09/2023</t>
  </si>
  <si>
    <t>IMPERMEABILIZAÇÃO</t>
  </si>
  <si>
    <t>SUPERESTRUTURA</t>
  </si>
  <si>
    <t>PILARES, VIGAS E LAJES</t>
  </si>
  <si>
    <t>92427</t>
  </si>
  <si>
    <t>MONTAGEM E DESMONTAGEM DE FÔRMA DE PILARES RETANGULARES E ESTRUTURAS SIMILARES, PÉ-DIREITO SIMPLES, EM CHAPA DE MADEIRA COMPENSADA RESINADA, 8 UTILIZAÇÕES. AF_09/2020</t>
  </si>
  <si>
    <t>92479</t>
  </si>
  <si>
    <t xml:space="preserve">MONTAGEM E DESMONTAGEM DE FÔRMA DE VIGA, SEM ESCORAMENTO, PÉ-DIREITO SIMPLES, EM CHAPA DE MADEIRA PLASTIFICADA, 18 UTILIZAÇÕES. </t>
  </si>
  <si>
    <t>92759</t>
  </si>
  <si>
    <t>ARMAÇÃO DE PILAR OU VIGA DE ESTRUTURA CONVENCIONAL DE CONCRETO ARMADO UTILIZANDO AÇO CA-60 DE 5,0 MM - MONTAGEM. AF_06/2022</t>
  </si>
  <si>
    <t>92760</t>
  </si>
  <si>
    <t>ARMAÇÃO DE PILAR OU VIGA DE ESTRUTURA CONVENCIONAL DE CONCRETO ARMADO UTILIZANDO AÇO CA-50 DE 6,3 MM - MONTAGEM. AF_06/2022</t>
  </si>
  <si>
    <t>92761</t>
  </si>
  <si>
    <t>ARMAÇÃO DE PILAR OU VIGA DE ESTRUTURA CONVENCIONAL DE CONCRETO ARMADO UTILIZANDO AÇO CA-50 DE 8,0 MM - MONTAGEM. AF_06/2022</t>
  </si>
  <si>
    <t>92762</t>
  </si>
  <si>
    <t>ARMAÇÃO DE PILAR OU VIGA DE ESTRUTURA CONVENCIONAL DE CONCRETO ARMADO UTILIZANDO AÇO CA-50 DE 10,0 MM - MONTAGEM. AF_06/2022</t>
  </si>
  <si>
    <t>PAREDES E PAINÉIS</t>
  </si>
  <si>
    <t>ALVENARIA/FECHAMENTO</t>
  </si>
  <si>
    <t>105024</t>
  </si>
  <si>
    <t>VERGA MOLDADA IN LOCO EM CONCRETO, ESPESSURA DE *10* CM. AF_03/2024</t>
  </si>
  <si>
    <t>105030</t>
  </si>
  <si>
    <t>CONTRAVERGA MOLDADA IN LOCO EM CONCRETO, ESPESSURA DE *10* CM. AF_03/2024</t>
  </si>
  <si>
    <t>94570</t>
  </si>
  <si>
    <t>JANELA DE ALUMÍNIO DE CORRER COM 2 FOLHAS PARA VIDROS (VIDROS INCLUSOS), BATENTE/ REQUADRO 6 A 14 CM, ACABAMENTO COM ACETATO OU BRILHANTE, FIXAÇÃO COM PARAFUSO, SEM GUARNIÇÃO/ ALIZAR, DIMENSÕES 100X120 CM, VEDAÇÃO COM SILICONE, EXCLUSIVE CONTRAMARCO - FORNECIMENTO E INSTALAÇÃO. AF_11/2024</t>
  </si>
  <si>
    <t>94569</t>
  </si>
  <si>
    <t>JANELA DE ALUMÍNIO TIPO MAXIM-AR, BATENTE/ REQUADRO 3 A 14 CM, VIDRO INCLUSO, FIXAÇÃO COM PARAFUSO, SEM GUARNIÇÃO/ ALIZAR, DIMENSÕES 60X80 (A X L) CM, SEM ACABAMENTO, VEDAÇÃO COM SILICONE, EXCLUSIVE CONTRAMARCO - FORNECIMENTO E INSTALAÇÃO. AF_11/2024</t>
  </si>
  <si>
    <t>ESQUADRIAS DE MADEIRAS</t>
  </si>
  <si>
    <t>UN</t>
  </si>
  <si>
    <t>COBERTURA E PROTEÇÕES</t>
  </si>
  <si>
    <t>92541</t>
  </si>
  <si>
    <t>TRAMA DE MADEIRA COMPOSTA POR RIPAS, CAIBROS E TERÇAS PARA TELHADOS DE ATÉ 2 ÁGUAS PARA TELHA CERÂMICA CAPA-CANAL, INCLUSO TRANSPORTE VERTICAL. AF_07/2019</t>
  </si>
  <si>
    <t>94447</t>
  </si>
  <si>
    <t>TELHAMENTO COM TELHA CERÂMICA CAPA-CANAL, TIPO PAULISTA, COM ATÉ 2 ÁGUAS, INCLUSO TRANSPORTE VERTICAL. AF_07/2019</t>
  </si>
  <si>
    <t>102233</t>
  </si>
  <si>
    <t>PINTURA IMUNIZANTE PARA MADEIRA, 1 DEMÃO. AF_01/2021</t>
  </si>
  <si>
    <t>94232</t>
  </si>
  <si>
    <t>AMARRAÇÃO DE TELHAS CERÂMICAS OU DE CONCRETO. AF_07/2019</t>
  </si>
  <si>
    <t>94221</t>
  </si>
  <si>
    <t>CUMEEIRA PARA TELHA CERÂMICA EMBOÇADA COM ARGAMASSA TRAÇO 1:2:9 (CIMENTO, CAL E AREIA) PARA TELHADOS COM ATÉ 2 ÁGUAS, INCLUSO TRANSPORTE VERTICAL. AF_07/2019</t>
  </si>
  <si>
    <t>92548</t>
  </si>
  <si>
    <t>FABRICAÇÃO E INSTALAÇÃO DE TESOURA INTEIRA EM MADEIRA NÃO APARELHADA, VÃO DE 6 M, PARA TELHA CERÂMICA OU DE CONCRETO, INCLUSO IÇAMENTO. AF_07/2019</t>
  </si>
  <si>
    <t>REVESTIMENTOS</t>
  </si>
  <si>
    <t>REVESTIMENTOS INTERNOS</t>
  </si>
  <si>
    <t>87879</t>
  </si>
  <si>
    <t>CHAPISCO APLICADO EM ALVENARIAS E ESTRUTURAS DE CONCRETO INTERNAS, COM COLHER DE PEDREIRO. ARGAMASSA TRAÇO 1:3 COM PREPARO EM BETONEIRA 400L. AF_10/2022</t>
  </si>
  <si>
    <t>87545</t>
  </si>
  <si>
    <t>EMBOÇO, EM ARGAMASSA TRAÇO 1:2:8, PREPARO MECÂNICO, APLICADO MANUALMENTE EM PAREDES INTERNAS, PARA AMBIENTES COM ÁREA MENOR QUE 5M², E = 10MM, COM TALISCAS. AF_03/2024</t>
  </si>
  <si>
    <t>87547</t>
  </si>
  <si>
    <t>MASSA ÚNICA, EM ARGAMASSA TRAÇO 1:2:8, PREPARO MECÂNICO, APLICADA MANUALMENTE EM PAREDES INTERNAS DE AMBIENTES COM ÁREA ENTRE 5M² E 10M², E = 10MM, COM TALISCAS. AF_03/2024</t>
  </si>
  <si>
    <t>90408</t>
  </si>
  <si>
    <t>MASSA ÚNICA, EM ARGAMASSA TRAÇO 1:2:8, PREPARO MECÂNICO, APLICADA MANUALMENTE EM TETO, E = 10MM, COM TALISCAS. AF_03/2024</t>
  </si>
  <si>
    <t>REVESTIMENTOS CERÂMICOS</t>
  </si>
  <si>
    <t>REVESTIMENTOS EXTERNOS</t>
  </si>
  <si>
    <t>87905</t>
  </si>
  <si>
    <t>CHAPISCO APLICADO EM ALVENARIA (COM PRESENÇA DE VÃOS) E ESTRUTURAS DE CONCRETO DE FACHADA, COM COLHER DE PEDREIRO. ARGAMASSA TRAÇO 1:3 COM PREPARO EM BETONEIRA 400L. AF_10/2022</t>
  </si>
  <si>
    <t>87792</t>
  </si>
  <si>
    <t>EMBOÇO OU MASSA ÚNICA EM ARGAMASSA TRAÇO 1:2:8, PREPARO MECÂNICO COM BETONEIRA 400 L, APLICADA MANUALMENTE EM PANOS CEGOS DE FACHADA (SEM PRESENÇA DE VÃOS), ESPESSURA DE 25 MM. AF_08/2022</t>
  </si>
  <si>
    <t>87775</t>
  </si>
  <si>
    <t>EMBOÇO OU MASSA ÚNICA EM ARGAMASSA TRAÇO 1:2:8, PREPARO MECÂNICO COM BETONEIRA 400 L, APLICADA MANUALMENTE EM PANOS DE FACHADA COM PRESENÇA DE VÃOS, ESPESSURA DE 25 MM. AF_08/2022</t>
  </si>
  <si>
    <t xml:space="preserve">PINTURA </t>
  </si>
  <si>
    <t>PINTURA INTERNA</t>
  </si>
  <si>
    <t>88485</t>
  </si>
  <si>
    <t>FUNDO SELADOR ACRÍLICO, APLICAÇÃO MANUAL EM PAREDE, UMA DEMÃO. AF_04/2023</t>
  </si>
  <si>
    <t>88484</t>
  </si>
  <si>
    <t>FUNDO SELADOR ACRÍLICO, APLICAÇÃO MANUAL EM TETO, UMA DEMÃO. AF_04/2023</t>
  </si>
  <si>
    <t>104639</t>
  </si>
  <si>
    <t>PINTURA LÁTEX ACRÍLICA ECONÔMICA, APLICAÇÃO MANUAL EM TETO, DUAS DEMÃOS. AF_04/2023</t>
  </si>
  <si>
    <t>104642</t>
  </si>
  <si>
    <t>PINTURA LÁTEX ACRÍLICA STANDARD, APLICAÇÃO MANUAL EM PAREDES, DUAS DEMÃOS. AF_04/2023</t>
  </si>
  <si>
    <t>PINTURA EXTERNA</t>
  </si>
  <si>
    <t>88415</t>
  </si>
  <si>
    <t>APLICAÇÃO MANUAL DE FUNDO SELADOR ACRÍLICO EM PAREDES EXTERNAS DE CASAS. AF_03/2024</t>
  </si>
  <si>
    <t>PINTURA ESQUADRIAS</t>
  </si>
  <si>
    <t>102193</t>
  </si>
  <si>
    <t>LIXAMENTO DE MADEIRA PARA APLICAÇÃO DE FUNDO OU PINTURA. AF_01/2021</t>
  </si>
  <si>
    <t>ED-17544</t>
  </si>
  <si>
    <t>PINTURA COM FUNDO NIVELADOR EM SUPERFÍCIE DE MADEIRA OU ESQUADRIA DE MADEIRA, UMA (1) DEMÃO, INCLUSIVE PREPARAÇÃO DA SUPERFÍCIE COM LIXAMENTO, EXCLUSIVE MASSA A ÓLEO</t>
  </si>
  <si>
    <t>99818</t>
  </si>
  <si>
    <t>LIMPEZA DE BACIA SANITÁRIA, BIDÊ OU MICTÓRIO EM LOUÇA, INCLUSIVE METAIS CORRESPONDENTES. AF_04/2019</t>
  </si>
  <si>
    <t>99819</t>
  </si>
  <si>
    <t>LIMPEZA DE BANCADA DE PEDRA (MÁRMORE OU GRANITO). AF_04/2019</t>
  </si>
  <si>
    <t>99821</t>
  </si>
  <si>
    <t>LIMPEZA DE JANELA DE VIDRO COM CAIXILHO EM AÇO/ALUMÍNIO/PVC. AF_04/2019</t>
  </si>
  <si>
    <t>99804</t>
  </si>
  <si>
    <t>LIMPEZA DE PISO CERÂMICO OU PORCELANATO UTILIZANDO DETERGENTE NEUTRO E ESCOVAÇÃO MANUAL. AF_04/2019</t>
  </si>
  <si>
    <t>99822</t>
  </si>
  <si>
    <t>LIMPEZA DE PORTA DE MADEIRA. AF_04/2019</t>
  </si>
  <si>
    <t>99807</t>
  </si>
  <si>
    <t>LIMPEZA DE REVESTIMENTO CERÂMICO EM PAREDE UTILIZANDO DETERGENTE NEUTRO E ESCOVAÇÃO MANUAL. AF_04/2019</t>
  </si>
  <si>
    <t>99816</t>
  </si>
  <si>
    <t>LIMPEZA DE TANQUE OU LAVATÓRIO DE LOUÇA ISOLADO, INCLUSIVE METAIS CORRESPONDENTES. AF_04/2019</t>
  </si>
  <si>
    <t>PAVIMENTAÇÕES</t>
  </si>
  <si>
    <t>CERÂMICA</t>
  </si>
  <si>
    <t>97084</t>
  </si>
  <si>
    <t>COMPACTAÇÃO MECÂNICA DE SOLO PARA EXECUÇÃO DE RADIER, PISO DE CONCRETO OU LAJE SOBRE SOLO, COM COMPACTADOR DE SOLOS TIPO PLACA VIBRATÓRIA. AF_09/2021</t>
  </si>
  <si>
    <t>100322</t>
  </si>
  <si>
    <t>97087</t>
  </si>
  <si>
    <t>CAMADA SEPARADORA PARA EXECUÇÃO DE RADIER, PISO DE CONCRETO OU LAJE SOBRE SOLO, EM LONA PLÁSTICA. AF_09/2021</t>
  </si>
  <si>
    <t>95241</t>
  </si>
  <si>
    <t>LASTRO DE CONCRETO MAGRO, APLICADO EM PISOS, LAJES SOBRE SOLO OU RADIERS, ESPESSURA DE 5 CM. AF_01/2024</t>
  </si>
  <si>
    <t>87745</t>
  </si>
  <si>
    <t>CONTRAPISO EM ARGAMASSA TRAÇO 1:4 (CIMENTO E AREIA), PREPARO MECÂNICO COM BETONEIRA 400 L, APLICADO EM ÁREAS MOLHADAS SOBRE LAJE, ADERIDO, ACABAMENTO NÃO REFORÇADO, ESPESSURA 3CM. AF_07/2021</t>
  </si>
  <si>
    <t>87630</t>
  </si>
  <si>
    <t>CONTRAPISO EM ARGAMASSA TRAÇO 1:4 (CIMENTO E AREIA), PREPARO MECÂNICO COM BETONEIRA 400 L, APLICADO EM ÁREAS SECAS SOBRE LAJE, ADERIDO, ACABAMENTO NÃO REFORÇADO, ESPESSURA 3CM. AF_07/2021</t>
  </si>
  <si>
    <t>87247</t>
  </si>
  <si>
    <t>REVESTIMENTO CERÂMICO PARA PISO COM PLACAS TIPO ESMALTADA DE DIMENSÕES 35X35 CM APLICADA EM AMBIENTES DE ÁREA ENTRE 5 M2 E 10 M2. AF_02/2023_PE</t>
  </si>
  <si>
    <t>87248</t>
  </si>
  <si>
    <t>REVESTIMENTO CERÂMICO PARA PISO COM PLACAS TIPO ESMALTADA DE DIMENSÕES 35X35 CM APLICADA EM AMBIENTES DE ÁREA MAIOR QUE 10 M2. AF_02/2023_PE</t>
  </si>
  <si>
    <t>87246</t>
  </si>
  <si>
    <t>REVESTIMENTO CERÂMICO PARA PISO COM PLACAS TIPO ESMALTADA DE DIMENSÕES 35X35 CM APLICADA EM AMBIENTES DE ÁREA MENOR QUE 5 M2. AF_02/2023_PE</t>
  </si>
  <si>
    <t>CIMENTADOS</t>
  </si>
  <si>
    <t>94990</t>
  </si>
  <si>
    <t>EXECUÇÃO DE PASSEIO (CALÇADA) OU PISO DE CONCRETO COM CONCRETO MOLDADO IN LOCO, FEITO EM OBRA, ACABAMENTO CONVENCIONAL, NÃO ARMADO. AF_08/2022</t>
  </si>
  <si>
    <t>RODAPÉS, SOLEIRAS E PEITORIS</t>
  </si>
  <si>
    <t>98695</t>
  </si>
  <si>
    <t>SOLEIRA EM MÁRMORE, LARGURA 15 CM, ESPESSURA 2,0 CM. AF_09/2020</t>
  </si>
  <si>
    <t>88648</t>
  </si>
  <si>
    <t>RODAPÉ CERÂMICO DE 7CM DE ALTURA COM PLACAS TIPO ESMALTADA DE DIMENSÕES 35X35CM. AF_02/2023</t>
  </si>
  <si>
    <t>101965</t>
  </si>
  <si>
    <t>PEITORIL LINEAR EM GRANITO OU MÁRMORE, L = 15CM, ASSENTADO COM ARGAMASSA 1:6 COM ADITIVO. AF_11/2020</t>
  </si>
  <si>
    <t>INSTALAÇÕES</t>
  </si>
  <si>
    <t>ELÉTRICAS / TELEFÔNICAS</t>
  </si>
  <si>
    <t>CENTRO DE DISTRIBUIÇÃO</t>
  </si>
  <si>
    <t>ILUMINAÇÃO, TOMADAS E INTERRUPTORES</t>
  </si>
  <si>
    <t>TUBULAÇÕES E CONEXÕES</t>
  </si>
  <si>
    <t>90373</t>
  </si>
  <si>
    <t>JOELHO 90 GRAUS COM BUCHA DE LATÃO, PVC, SOLDÁVEL, DN 25MM, X 1/2 INSTALADO EM RAMAL OU SUB-RAMAL DE ÁGUA - FORNECIMENTO E INSTALAÇÃO. AF_06/2022</t>
  </si>
  <si>
    <t>89408</t>
  </si>
  <si>
    <t>JOELHO 90 GRAUS, PVC, SOLDÁVEL, DN 25MM, INSTALADO EM RAMAL DE DISTRIBUIÇÃO DE ÁGUA - FORNECIMENTO E INSTALAÇÃO. AF_06/2022</t>
  </si>
  <si>
    <t>94490</t>
  </si>
  <si>
    <t>REGISTRO DE ESFERA, PVC, SOLDÁVEL, COM VOLANTE, DN 32 MM - FORNECIMENTO E INSTALAÇÃO. AF_08/2021</t>
  </si>
  <si>
    <t>97741</t>
  </si>
  <si>
    <t>KIT CAVALETE PARA MEDIÇÃO DE ÁGUA - ENTRADA INDIVIDUALIZADA, EM PVC 25 MM (3/4"), PARA 1 MEDIDOR - FORNECIMENTO E INSTALAÇÃO (EXCLUSIVE HIDRÔMETRO). AF_03/2024</t>
  </si>
  <si>
    <t>89402</t>
  </si>
  <si>
    <t>TUBO, PVC, SOLDÁVEL, DE 25MM, INSTALADO EM RAMAL DE DISTRIBUIÇÃO DE ÁGUA - FORNECIMENTO E INSTALAÇÃO. AF_06/2022</t>
  </si>
  <si>
    <t>102591</t>
  </si>
  <si>
    <t>FURO EM CAIXA D'ÁGUA COM ESPESSURA DE 2 ATÉ 5 MM E DIÂMETRO DE 25 MM. AF_06/2021</t>
  </si>
  <si>
    <t>102593</t>
  </si>
  <si>
    <t>FURO EM CAIXA D'ÁGUA COM ESPESSURA DE 2 ATÉ 5 MM E DIÂMETRO DE 32 MM. AF_06/2021</t>
  </si>
  <si>
    <t>94703</t>
  </si>
  <si>
    <t>ADAPTADOR COM FLANGE E ANEL DE VEDAÇÃO, PVC, SOLDÁVEL, DN 25 MM X 3/4", INSTALADO EM RESERVAÇÃO PREDIAL DE ÁGUA - FORNECIMENTO E INSTALAÇÃO. AF_04/2024</t>
  </si>
  <si>
    <t>94704</t>
  </si>
  <si>
    <t>ADAPTADOR COM FLANGE E ANEL DE VEDAÇÃO, PVC, SOLDÁVEL, DN 32 MM X 1", INSTALADO EM RESERVAÇÃO PREDIAL DE ÁGUA - FORNECIMENTO E INSTALAÇÃO. AF_04/2024</t>
  </si>
  <si>
    <t>89413</t>
  </si>
  <si>
    <t>JOELHO 90 GRAUS, PVC, SOLDÁVEL, DN 32MM, INSTALADO EM RAMAL DE DISTRIBUIÇÃO DE ÁGUA - FORNECIMENTO E INSTALAÇÃO. AF_06/2022</t>
  </si>
  <si>
    <t>89403</t>
  </si>
  <si>
    <t>TUBO, PVC, SOLDÁVEL, DE 32MM, INSTALADO EM RAMAL DE DISTRIBUIÇÃO DE ÁGUA - FORNECIMENTO E INSTALAÇÃO. AF_06/2022</t>
  </si>
  <si>
    <t>89732</t>
  </si>
  <si>
    <t>JOELHO 45 GRAUS, PVC, SERIE NORMAL, ESGOTO PREDIAL, DN 50 MM, JUNTA ELÁSTICA, FORNECIDO E INSTALADO EM RAMAL DE DESCARGA OU RAMAL DE ESGOTO SANITÁRIO. AF_08/2022</t>
  </si>
  <si>
    <t>89731</t>
  </si>
  <si>
    <t>JOELHO 90 GRAUS, PVC, SERIE NORMAL, ESGOTO PREDIAL, DN 50 MM, JUNTA ELÁSTICA, FORNECIDO E INSTALADO EM RAMAL DE DESCARGA OU RAMAL DE ESGOTO SANITÁRIO. AF_08/2022</t>
  </si>
  <si>
    <t>89744</t>
  </si>
  <si>
    <t>JOELHO 90 GRAUS, PVC, SERIE NORMAL, ESGOTO PREDIAL, DN 100 MM, JUNTA ELÁSTICA, FORNECIDO E INSTALADO EM RAMAL DE DESCARGA OU RAMAL DE ESGOTO SANITÁRIO. AF_08/2022</t>
  </si>
  <si>
    <t>89784</t>
  </si>
  <si>
    <t>TE, PVC, SERIE NORMAL, ESGOTO PREDIAL, DN 50 X 50 MM, JUNTA ELÁSTICA, FORNECIDO E INSTALADO EM RAMAL DE DESCARGA OU RAMAL DE ESGOTO SANITÁRIO. AF_08/2022</t>
  </si>
  <si>
    <t>104345</t>
  </si>
  <si>
    <t>JUNÇÃO DE REDUÇÃO INVERTIDA, PVC, SÉRIE NORMAL, ESGOTO PREDIAL, DN 100 X 50 MM, JUNTA ELÁSTICA, FORNECIDO E INSTALADO EM RAMAL DE DESCARGA OU RAMAL DE ESGOTO SANITÁRIO. AF_08/2022</t>
  </si>
  <si>
    <t>104348</t>
  </si>
  <si>
    <t>TERMINAL DE VENTILAÇÃO, PVC, SÉRIE NORMAL, ESGOTO PREDIAL, DN 50 MM, JUNTA SOLDÁVEL, FORNECIDO E INSTALADO EM PRUMADA DE ESGOTO SANITÁRIO OU VENTILAÇÃO. AF_08/2022</t>
  </si>
  <si>
    <t>89712</t>
  </si>
  <si>
    <t>TUBO PVC, SERIE NORMAL, ESGOTO PREDIAL, DN 50 MM, FORNECIDO E INSTALADO EM RAMAL DE DESCARGA OU RAMAL DE ESGOTO SANITÁRIO. AF_08/2022</t>
  </si>
  <si>
    <t>89714</t>
  </si>
  <si>
    <t>TUBO PVC, SERIE NORMAL, ESGOTO PREDIAL, DN 100 MM, FORNECIDO E INSTALADO EM RAMAL DE DESCARGA OU RAMAL DE ESGOTO SANITÁRIO. AF_08/2022</t>
  </si>
  <si>
    <t>97902</t>
  </si>
  <si>
    <t>CAIXA ENTERRADA HIDRÁULICA RETANGULAR EM ALVENARIA COM TIJOLOS CERÂMICOS MACIÇOS, DIMENSÕES INTERNAS: 0,6X0,6X0,6 M PARA REDE DE ESGOTO. AF_12/2020</t>
  </si>
  <si>
    <t>89707</t>
  </si>
  <si>
    <t>CAIXA SIFONADA, PVC, DN 100 X 100 X 50 MM, JUNTA ELÁSTICA, FORNECIDA E INSTALADA EM RAMAL DE DESCARGA OU EM RAMAL DE ESGOTO SANITÁRIO. AF_08/2022</t>
  </si>
  <si>
    <t>APARELHOS, METAIS E BANCADAS</t>
  </si>
  <si>
    <t>86931</t>
  </si>
  <si>
    <t>VASO SANITÁRIO SIFONADO COM CAIXA ACOPLADA LOUÇA BRANCA, INCLUSO ENGATE FLEXÍVEL EM PLÁSTICO BRANCO, 1/2 X 40CM - FORNECIMENTO E INSTALAÇÃO. AF_01/2020</t>
  </si>
  <si>
    <t>86943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</si>
  <si>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</si>
  <si>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86924</t>
  </si>
  <si>
    <t>TANQUE DE LOUÇA BRANCA SUSPENSO, 18L OU EQUIVALENTE, INCLUSO SIFÃO TIPO GARRAFA EM PVC, VÁLVULA PLÁSTICA E TORNEIRA DE PLÁSTICO - FORNECIMENTO E INSTALAÇÃO. AF_01/2020</t>
  </si>
  <si>
    <t>CPU-002</t>
  </si>
  <si>
    <t>CPU-003</t>
  </si>
  <si>
    <t>CPU-004</t>
  </si>
  <si>
    <t>BANCADA DE MÁRMORE SINTÉTICO 120 X 60CM, COM CUBA INTEGRADA, INCLUSO SIFÃO TIPO GARRAFA EM PVC, VÁLVULA EM PLÁSTICO CROMADO TIPO AMERICANA E TORNEIRA CROMADA LONGA, DE PAREDE, PADRÃO POPULAR - FORNECIMENTO E INSTALAÇÃO. AF_01/2020</t>
  </si>
  <si>
    <t>Porta - P1</t>
  </si>
  <si>
    <t>Porta - P2</t>
  </si>
  <si>
    <t>janela - J1</t>
  </si>
  <si>
    <t>janela - J2</t>
  </si>
  <si>
    <t>janela - J3</t>
  </si>
  <si>
    <t>janela - J4</t>
  </si>
  <si>
    <t>Quantidade</t>
  </si>
  <si>
    <t>Comp. Total</t>
  </si>
  <si>
    <t>S1-S3-S5-S6-S8-S11-S13</t>
  </si>
  <si>
    <t>S2-S4-S9-S12</t>
  </si>
  <si>
    <t>S7-S10</t>
  </si>
  <si>
    <t>Altura (m)</t>
  </si>
  <si>
    <t>Pilares</t>
  </si>
  <si>
    <t>Fundações</t>
  </si>
  <si>
    <t>item 1.3.1.1</t>
  </si>
  <si>
    <t>Item 1.3.1.8</t>
  </si>
  <si>
    <t>item 1.3.1.3 (vol. Em m3)</t>
  </si>
  <si>
    <t xml:space="preserve">Fundações </t>
  </si>
  <si>
    <t>Projeto estrutural</t>
  </si>
  <si>
    <t>ARMAÇÃO DE SAPATA ISOLADA, VIGA BALDRAME E SAPATA CORRIDA UTILIZANDO AÇO CA-50 DE 8,0 MM - MONTAGEM. AF_01/2024</t>
  </si>
  <si>
    <t>Comprimento</t>
  </si>
  <si>
    <t>Peso (Kg/m)</t>
  </si>
  <si>
    <t>Sapatas</t>
  </si>
  <si>
    <t>37,38+41,58+12,46+13,08+34,88+33,32 =</t>
  </si>
  <si>
    <t>15,38+1,6+16,3+6,62+6,98+6,36+6,82+3,09+1,71+15,52+4,04+1,2+16,28+6,58+7,3+15,38+16+17,78+18,3+11,48+12,1+17,96+18,72+35,6+3,78</t>
  </si>
  <si>
    <t>vigas baldrame</t>
  </si>
  <si>
    <t>80,85+23,1+46,2 =</t>
  </si>
  <si>
    <t>Pilares da sapatas</t>
  </si>
  <si>
    <t>36,63+15+14,25+37,08+15,75+35,64+40,5+26,25+42,57+41,87</t>
  </si>
  <si>
    <t>Pilares das sapatas</t>
  </si>
  <si>
    <t>Vigas baldrame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</si>
  <si>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</si>
  <si>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</si>
  <si>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</si>
  <si>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</si>
  <si>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</si>
  <si>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</si>
  <si>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</si>
  <si>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</si>
  <si>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</si>
  <si>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</si>
  <si>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Desconto</t>
  </si>
  <si>
    <t>x (</t>
  </si>
  <si>
    <t>)  =</t>
  </si>
  <si>
    <t>Laterais (m)</t>
  </si>
  <si>
    <t>V1 (</t>
  </si>
  <si>
    <t>V2 (</t>
  </si>
  <si>
    <t>V3 (</t>
  </si>
  <si>
    <t>V4 (</t>
  </si>
  <si>
    <t>V5 (</t>
  </si>
  <si>
    <t>V6 (</t>
  </si>
  <si>
    <t>V7 (</t>
  </si>
  <si>
    <t>V8 (</t>
  </si>
  <si>
    <t>V9 (</t>
  </si>
  <si>
    <t>V10 (</t>
  </si>
  <si>
    <t>+</t>
  </si>
  <si>
    <t>) x</t>
  </si>
  <si>
    <t>Vigas</t>
  </si>
  <si>
    <t>Lajes</t>
  </si>
  <si>
    <t>MONTAGEM E DESMONTAGEM DE FÔRMA DE LAJE MACIÇA, PÉDIREITO SIMPLES, EM CHAPA DE MADEIRA COMPENSADA RESINADA E CIMBRAMENTO DE MADEIRA, 2 UTILIZAÇÕES. AF_03/2022</t>
  </si>
  <si>
    <t>92768</t>
  </si>
  <si>
    <t>ARMAÇÃO DE LAJE DE ESTRUTURA CONVENCIONAL DE CONCRETO ARMADO UTILIZANDO AÇO CA-60 DE 5,0 MM - MONTAGEM. AF_06/2022</t>
  </si>
  <si>
    <t>92769</t>
  </si>
  <si>
    <t>ARMAÇÃO DE LAJE DE ESTRUTURA CONVENCIONAL DE CONCRETO ARMADO UTILIZANDO AÇO CA-50 DE 6,3 MM - MONTAGEM. AF_06/2022</t>
  </si>
  <si>
    <t>Lajes (beiral+lajes internas+entrada)</t>
  </si>
  <si>
    <t>Armação positiva</t>
  </si>
  <si>
    <t>Armação negativa</t>
  </si>
  <si>
    <t>ALVENARIA DE VEDAÇÃO DE BLOCOS CERÂMICOS FURADOS NA HORIZONTAL DE 14X19X29 CM (ESPESSURA 14 CM) E ARGAMASSA DE ASSENTAMENTO COM PREPARO MANUAL. AF_12/2021</t>
  </si>
  <si>
    <t>ALVENARIA DE VEDAÇÃO DE BLOCOS CERÂMICOS FURADOS NA HORIZONTAL DE 9X19X29 CM (ESPESSURA 9 CM) E ARGAMASSA DE ASSENTAMENTO COM PREPARO EM BETONEIRA. AF_12/2021</t>
  </si>
  <si>
    <t>Descontos</t>
  </si>
  <si>
    <t>janela - J1/J3</t>
  </si>
  <si>
    <t>ALIZAR DE 5X1,5CM PARA PORTA FIXADO COM PREGOS, PADRÃO POPULAR - FORNECIMENTO E INSTALAÇÃO. AF_12/2019</t>
  </si>
  <si>
    <t>BATENTE PARA PORTA DE MADEIRA, FIXAÇÃO COM ARGAMASSA, PADRÃO POPULAR. FORNECIMENTO E INSTALAÇÃO. AF_12/2019</t>
  </si>
  <si>
    <t>90825</t>
  </si>
  <si>
    <t>PORTA DE MADEIRA, MACIÇA (PESADA OU SUPERPESADA), 90X210CM, ESPESSURA DE 3,5CM, INCLUSO DOBRADIÇAS - FORNECIMENTO E INSTALAÇÃO. AF_12/2019</t>
  </si>
  <si>
    <t>KIT DE PORTA DE MADEIRA MACIÇA (PESADA OU SUPERPESADA), PADRÃO POPULAR, 90X210CM, ESPESSURA DE 3,5CM, ITENS INCLUSOS: DOBRADIÇAS, MONTAGEM E INSTALAÇÃO DO BATENTE, SEM FECHADURA - FORNECIMENTO E INSTALAÇÃO.</t>
  </si>
  <si>
    <t>91315</t>
  </si>
  <si>
    <t>KIT DE PORTA DE MADEIRA PARA PINTURA, SEMI-OCA (LEVE OU MÉDIA), PADRÃO POPULAR, 90X210CM, ESPESSURA DE 3,5CM, ITENS INCLUSOS: DOBRADIÇAS, MONTAGEM E INSTALAÇÃO DO BATENTE, FECHADURA COM EXECUÇÃO DO FURO - FORNECIMENTO E INSTALAÇÃO. AF_12/2019</t>
  </si>
  <si>
    <t>Larg.(m)</t>
  </si>
  <si>
    <t>Quant./m²</t>
  </si>
  <si>
    <t>Percentual</t>
  </si>
  <si>
    <t>87885</t>
  </si>
  <si>
    <t>CHAPISCO APLICADO NO TETO OU EM ALVENARIA E ESTRUTURA, COM ROLO PARA TEXTURA ACRÍLICA. ARGAMASSA INDUSTRIALIZADA COM PREPARO EM MISTURADOR 300 KG. AF_10/2022</t>
  </si>
  <si>
    <t>ESPALA EM CAMADA ÚNICA COM ARGAMASSA, TRAÇO 1:3 (CIMENTO E AREIA), COM ADITIVO IMPERMEABILIZANTE, ESP. 20MM, APLICAÇÃO MANUAL, INCLUSIVE ARGAMASSA COM PREPARO MECANIZADO</t>
  </si>
  <si>
    <t>ED-31651</t>
  </si>
  <si>
    <t>SICOR-MG</t>
  </si>
  <si>
    <t>Cozinha</t>
  </si>
  <si>
    <t>Sala</t>
  </si>
  <si>
    <t>Quarto 1</t>
  </si>
  <si>
    <t>Quarto 2</t>
  </si>
  <si>
    <t>Quarto 3</t>
  </si>
  <si>
    <t>Circulação</t>
  </si>
  <si>
    <t>Entrada</t>
  </si>
  <si>
    <t>Banheiro</t>
  </si>
  <si>
    <t>Área de serviço</t>
  </si>
  <si>
    <t>Fachadas</t>
  </si>
  <si>
    <t>Alvenaria fachada principal (oitão)</t>
  </si>
  <si>
    <t>Alvenaria fachada posterior (oitão)</t>
  </si>
  <si>
    <t>Perímetro (m)</t>
  </si>
  <si>
    <t>Fachada principal / posterior (oitão)</t>
  </si>
  <si>
    <t>87273</t>
  </si>
  <si>
    <t>REVESTIMENTO CERÂMICO PARA PAREDES INTERNAS COM PLACAS TIPO ESMALTADA DE DIMENSÕES 33X45 CM APLICADAS NA ALTURA INTEIRA DAS PAREDES. AF_02/2023_PE</t>
  </si>
  <si>
    <t>igual ao item 1.7.1.4.</t>
  </si>
  <si>
    <t>igual ao item 1.7.3.4</t>
  </si>
  <si>
    <t>igual ao item 1.7.1.6</t>
  </si>
  <si>
    <t>igual ao item 1.7.1.4</t>
  </si>
  <si>
    <t>Porta - P1/P2/P3/P4</t>
  </si>
  <si>
    <t>Alizares</t>
  </si>
  <si>
    <t>Batentes</t>
  </si>
  <si>
    <t>Quant. (lados)</t>
  </si>
  <si>
    <t>igual ao item 1.8.1.1</t>
  </si>
  <si>
    <t>LASTRO COM MATERIAL GRANULAR (PEDRA BRITADA N.3), APLICADO EM PISOS OU LAJES SOBRE SOLO, ESPESSURA DE *5 CM*. AF_01/2024</t>
  </si>
  <si>
    <t>Área (m)</t>
  </si>
  <si>
    <t>Volume</t>
  </si>
  <si>
    <t>Externa</t>
  </si>
  <si>
    <t>HIDRÁULICA</t>
  </si>
  <si>
    <t>89394</t>
  </si>
  <si>
    <t>TÊ COM BUCHA DE LATÃO NA BOLSA CENTRAL, PVC, SOLDÁVEL, DN 20MM X 1/2, INSTALADO EM RAMAL OU SUB-RAMAL DE ÁGUA - FORNECIMENTO E INSTALAÇÃO. AF_06/2022</t>
  </si>
  <si>
    <t>89623</t>
  </si>
  <si>
    <t>TE, PVC, SOLDÁVEL, DN 40MM, INSTALADO EM PRUMADA DE ÁGUA - FORNECIMENTO E INSTALAÇÃO. AF_06/2022</t>
  </si>
  <si>
    <t>89620</t>
  </si>
  <si>
    <t>TE, PVC, SOLDÁVEL, DN 32MM, INSTALADO EM PRUMADA DE ÁGUA - FORNECIMENTO E INSTALAÇÃO. AF_06/2022</t>
  </si>
  <si>
    <t>89393</t>
  </si>
  <si>
    <t>TE, PVC, SOLDÁVEL, DN 20MM, INSTALADO EM RAMAL OU SUB-RAMAL DE ÁGUA - FORNECIMENTO E INSTALAÇÃO. AF_06/2022</t>
  </si>
  <si>
    <t>89624</t>
  </si>
  <si>
    <t>TÊ DE REDUÇÃO, PVC, SOLDÁVEL, DN 40MM X 32MM, INSTALADO EM PRUMADA DE ÁGUA - FORNECIMENTO E INSTALAÇÃO. AF_06/2022</t>
  </si>
  <si>
    <t>89622</t>
  </si>
  <si>
    <t>TÊ DE REDUÇÃO, PVC, SOLDÁVEL, DN 32MM X 25MM, INSTALADO EM PRUMADA DE ÁGUA - FORNECIMENTO E INSTALAÇÃO. AF_06/2022</t>
  </si>
  <si>
    <t>89442</t>
  </si>
  <si>
    <t>TÊ DE REDUÇÃO, PVC, SOLDÁVEL, DN 25MM X 20MM, INSTALADO EM RAMAL DE DISTRIBUIÇÃO DE ÁGUA - FORNECIMENTO E INSTALAÇÃO. AF_06/2022</t>
  </si>
  <si>
    <t>89400</t>
  </si>
  <si>
    <t>TÊ DE REDUÇÃO, PVC, SOLDÁVEL, DN 32MM X 25MM, INSTALADO EM RAMAL OU SUB-RAMAL DE ÁGUA - FORNECIMENTO E INSTALAÇÃO. AF_06/2022</t>
  </si>
  <si>
    <t>89497</t>
  </si>
  <si>
    <t>JOELHO 90 GRAUS, PVC, SOLDÁVEL, DN 40MM, INSTALADO EM PRUMADA DE ÁGUA - FORNECIMENTO E INSTALAÇÃO. AF_06/2022</t>
  </si>
  <si>
    <t>89358</t>
  </si>
  <si>
    <t>JOELHO 90 GRAUS, PVC, SOLDÁVEL, DN 20MM, INSTALADO EM RAMAL OU SUB-RAMAL DE ÁGUA - FORNECIMENTO E INSTALAÇÃO. AF_06/2022</t>
  </si>
  <si>
    <t>89368</t>
  </si>
  <si>
    <t>JOELHO 45 GRAUS, PVC, SOLDÁVEL, DN 32MM, INSTALADO EM RAMAL OU SUB-RAMAL DE ÁGUA - FORNECIMENTO E INSTALAÇÃO. AF_06/2022</t>
  </si>
  <si>
    <t>89374</t>
  </si>
  <si>
    <t>LUVA COM BUCHA DE LATÃO, PVC, SOLDÁVEL, DN 20MM X 1/2", INSTALADO EM RAMAL OU SUB-RAMAL DE ÁGUA - FORNECIMENTO E INSTALAÇÃO. AF_06/2022</t>
  </si>
  <si>
    <t>89385</t>
  </si>
  <si>
    <t>LUVA SOLDÁVEL E COM ROSCA, PVC, SOLDÁVEL, DN 25MM X 3/4, INSTALADO EM RAMAL OU SUB-RAMAL DE ÁGUA - FORNECIMENTO E INSTALAÇÃO. AF_06/2022</t>
  </si>
  <si>
    <t>89389</t>
  </si>
  <si>
    <t>LUVA SOLDÁVEL E COM ROSCA, PVC, SOLDÁVEL, DN 32MM X 1, INSTALADO EM RAMAL OU SUB-RAMAL DE ÁGUA - FORNECIMENTO E INSTALAÇÃO. AF_06/2022</t>
  </si>
  <si>
    <t>103993</t>
  </si>
  <si>
    <t>BUCHA DE REDUÇÃO, PVC, SOLDÁVEL, DN 40MM X 32MM, INSTALADO EM RAMAL DE DISTRIBUIÇÃO DE ÁGUA - FORNECIMENTO E INSTALAÇÃO. AF_06/2022</t>
  </si>
  <si>
    <t>103948</t>
  </si>
  <si>
    <t>BUCHA DE REDUÇÃO, CURTA, PVC, SOLDÁVEL, DN 32 X 25 MM, INSTALADO EM RAMAL OU SUB-RAMAL DE ÁGUA - FORNECIMENTO E INSTALAÇÃO. AF_06/2022</t>
  </si>
  <si>
    <t>103947</t>
  </si>
  <si>
    <t>BUCHA DE REDUÇÃO, CURTA, PVC, SOLDÁVEL, DN 25 X 20 MM, INSTALADO EM RAMAL OU SUB-RAMAL DE ÁGUA - FORNECIMENTO E INSTALAÇÃO. AF_06/2022</t>
  </si>
  <si>
    <t>94491</t>
  </si>
  <si>
    <t>REGISTRO DE ESFERA, PVC, SOLDÁVEL, COM VOLANTE, DN 40 MM - FORNECIMENTO E INSTALAÇÃO. AF_08/2021</t>
  </si>
  <si>
    <t>103047</t>
  </si>
  <si>
    <t>REGISTRO DE ESFERA, PVC, SOLDÁVEL, COM VOLANTE, DN 20 MM - FORNECIMENTO E INSTALAÇÃO. AF_08/2021</t>
  </si>
  <si>
    <t>94793</t>
  </si>
  <si>
    <t>REGISTRO DE GAVETA BRUTO, LATÃO, ROSCÁVEL, 1 1/4", COM ACABAMENTO E CANOPLA CROMADOS - FORNECIMENTO E INSTALAÇÃO. AF_08/2021</t>
  </si>
  <si>
    <t>89984</t>
  </si>
  <si>
    <t>REGISTRO DE PRESSÃO BRUTO, LATÃO, ROSCÁVEL, 1/2", COM ACABAMENTO E CANOPLA CROMADOS - FORNECIMENTO E INSTALAÇÃO. AF_08/2021</t>
  </si>
  <si>
    <t>94705</t>
  </si>
  <si>
    <t>ADAPTADOR COM FLANGE E ANEL DE VEDAÇÃO, PVC, SOLDÁVEL, DN 40 MM X 1 1/4", INSTALADO EM RESERVAÇÃO PREDIAL DE ÁGUA - FORNECIMENTO E INSTALAÇÃO. AF_04/2024</t>
  </si>
  <si>
    <t>102623</t>
  </si>
  <si>
    <t>CAIXA D´ÁGUA EM POLIETILENO, 1000 LITROS (INCLUSOS TUBOS, CONEXÕES E TORNEIRA DE BÓIA) - FORNECIMENTO E INSTALAÇÃO. AF_06/2021</t>
  </si>
  <si>
    <t>94795</t>
  </si>
  <si>
    <t>TORNEIRA DE BOIA PARA CAIXA D'ÁGUA, ROSCÁVEL, 1/2" - FORNECIMENTO E INSTALAÇÃO. AF_08/2021</t>
  </si>
  <si>
    <t>103978</t>
  </si>
  <si>
    <t>TUBO, PVC, SOLDÁVEL, DE 40MM, INSTALADO EM RAMAL DE DISTRIBUIÇÃO DE ÁGUA - FORNECIMENTO E INSTALAÇÃO. AF_06/2022</t>
  </si>
  <si>
    <t>89401</t>
  </si>
  <si>
    <t>TUBO, PVC, SOLDÁVEL, DE 20MM, INSTALADO EM RAMAL DE DISTRIBUIÇÃO DE ÁGUA - FORNECIMENTO E INSTALAÇÃO. AF_06/2022</t>
  </si>
  <si>
    <t>102595</t>
  </si>
  <si>
    <t>FURO EM CAIXA D'ÁGUA COM ESPESSURA DE 2 ATÉ 5 MM E DIÂMETRO DE 40 MM. AF_06/2021</t>
  </si>
  <si>
    <t>86916</t>
  </si>
  <si>
    <t>TORNEIRA PLÁSTICA 3/4" PARA TANQUE - FORNECIMENTO E INSTALAÇÃO. AF_01/2020</t>
  </si>
  <si>
    <t>89739</t>
  </si>
  <si>
    <t>JOELHO 45 GRAUS, PVC, SERIE NORMAL, ESGOTO PREDIAL, DN 75 MM, JUNTA ELÁSTICA, FORNECIDO E INSTALADO EM RAMAL DE DESCARGA OU RAMAL DE ESGOTO SANITÁRIO. AF_08/2022</t>
  </si>
  <si>
    <t>89733</t>
  </si>
  <si>
    <t>CURVA CURTA 90 GRAUS, PVC, SERIE NORMAL, ESGOTO PREDIAL, DN 50 MM, JUNTA ELÁSTICA, FORNECIDO E INSTALADO EM RAMAL DE DESCARGA OU RAMAL DE ESGOTO SANITÁRIO. AF_08/2022</t>
  </si>
  <si>
    <t>104344</t>
  </si>
  <si>
    <t>TE, PVC, SÉRIE NORMAL, ESGOTO PREDIAL, DN 100 X 50 MM, JUNTA ELÁSTICA, FORNECIDO E INSTALADO EM RAMAL DE DESCARGA OU RAMAL DE ESGOTO SANITÁRIO. AF_08/2022</t>
  </si>
  <si>
    <t>89778</t>
  </si>
  <si>
    <t>LUVA SIMPLES, PVC, SERIE NORMAL, ESGOTO PREDIAL, DN 100 MM, JUNTA ELÁSTICA, FORNECIDO E INSTALADO EM RAMAL DE DESCARGA OU RAMAL DE ESGOTO SANITÁRIO. AF_08/2022</t>
  </si>
  <si>
    <t>89774</t>
  </si>
  <si>
    <t>LUVA SIMPLES, PVC, SERIE NORMAL, ESGOTO PREDIAL, DN 75 MM, JUNTA ELÁSTICA, FORNECIDO E INSTALADO EM RAMAL DE DESCARGA OU RAMAL DE ESGOTO SANITÁRIO. AF_08/2022</t>
  </si>
  <si>
    <t>89754</t>
  </si>
  <si>
    <t>LUVA DE CORRER, PVC, SERIE NORMAL, ESGOTO PREDIAL, DN 50 MM, JUNTA ELÁSTICA, FORNECIDO E INSTALADO EM RAMAL DE DESCARGA OU RAMAL DE ESGOTO SANITÁRIO. AF_08/2022</t>
  </si>
  <si>
    <t>104341</t>
  </si>
  <si>
    <t>BUCHA DE REDUÇÃO LONGA, PVC, SÉRIE NORMAL, ESGOTO PREDIAL, DN 50 X 40 MM, JUNTA SOLDÁVEL E ELÁSTICA, FORNECIDO E INSTALADO EM RAMAL DE DESCARGA OU RAMAL DE ESGOTO SANITÁRIO. AF_08/2022</t>
  </si>
  <si>
    <t>89713</t>
  </si>
  <si>
    <t>TUBO PVC, SERIE NORMAL, ESGOTO PREDIAL, DN 75 MM, FORNECIDO E INSTALADO EM RAMAL DE DESCARGA OU RAMAL DE ESGOTO SANITÁRIO. AF_08/2022</t>
  </si>
  <si>
    <t>98110</t>
  </si>
  <si>
    <t>CAIXA DE GORDURA PEQUENA (CAPACIDADE: 19 L), CIRCULAR, EM PVC, DIÂMETRO INTERNO= 0,3 M. AF_12/2020</t>
  </si>
  <si>
    <t>89708</t>
  </si>
  <si>
    <t>CAIXA SIFONADA, PVC, DN 150 X 185 X 75 MM, JUNTA ELÁSTICA, FORNECIDA E INSTALADA EM RAMAL DE DESCARGA OU EM RAMAL DE ESGOTO SANITÁRIO. AF_08/2022</t>
  </si>
  <si>
    <t>SANITÁRIAS</t>
  </si>
  <si>
    <t>LIMPEZA</t>
  </si>
  <si>
    <t>1.1</t>
  </si>
  <si>
    <t>2.1</t>
  </si>
  <si>
    <t>2.2</t>
  </si>
  <si>
    <t>2.3</t>
  </si>
  <si>
    <t>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</si>
  <si>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</si>
  <si>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</si>
  <si>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</si>
  <si>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</si>
  <si>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</si>
  <si>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</si>
  <si>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</si>
  <si>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</si>
  <si>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</si>
  <si>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</si>
  <si>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</si>
  <si>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</si>
  <si>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</si>
  <si>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</si>
  <si>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</si>
  <si>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</si>
  <si>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</si>
  <si>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</si>
  <si>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3.3</t>
  </si>
  <si>
    <t>3.3.1</t>
  </si>
  <si>
    <t>4.1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</si>
  <si>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</si>
  <si>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</si>
  <si>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</si>
  <si>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</si>
  <si>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</si>
  <si>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</si>
  <si>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</si>
  <si>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</si>
  <si>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</si>
  <si>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</si>
  <si>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</si>
  <si>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5.1</t>
  </si>
  <si>
    <t>5.1.1</t>
  </si>
  <si>
    <t>5.1.2</t>
  </si>
  <si>
    <t>5.1.3</t>
  </si>
  <si>
    <t>5.1.4</t>
  </si>
  <si>
    <t>5.2</t>
  </si>
  <si>
    <t>5.2.1</t>
  </si>
  <si>
    <t>5.2.2</t>
  </si>
  <si>
    <t>5.3</t>
  </si>
  <si>
    <t>5.3.1</t>
  </si>
  <si>
    <t>5.3.2</t>
  </si>
  <si>
    <t>6.1</t>
  </si>
  <si>
    <t>6.2</t>
  </si>
  <si>
    <t>6.3</t>
  </si>
  <si>
    <t>6.4</t>
  </si>
  <si>
    <t>6.5</t>
  </si>
  <si>
    <t>6.6</t>
  </si>
  <si>
    <t>7.1</t>
  </si>
  <si>
    <t>7.1.1</t>
  </si>
  <si>
    <t>7.1.2</t>
  </si>
  <si>
    <t>7.1.3</t>
  </si>
  <si>
    <t>7.1.4</t>
  </si>
  <si>
    <t>7.1.5</t>
  </si>
  <si>
    <t>7.1.6</t>
  </si>
  <si>
    <t>7.2</t>
  </si>
  <si>
    <t>7.2.1</t>
  </si>
  <si>
    <t>7.3</t>
  </si>
  <si>
    <t>7.3.1</t>
  </si>
  <si>
    <t>7.3.2</t>
  </si>
  <si>
    <t>7.3.3</t>
  </si>
  <si>
    <t>7.4</t>
  </si>
  <si>
    <t>7.4.1</t>
  </si>
  <si>
    <t>7.4.1.1</t>
  </si>
  <si>
    <t>7.4.1.2</t>
  </si>
  <si>
    <t>7.4.1.3</t>
  </si>
  <si>
    <t>7.4.1.4</t>
  </si>
  <si>
    <t>7.4.2</t>
  </si>
  <si>
    <t>7.4.2.1</t>
  </si>
  <si>
    <t>7.4.2.2</t>
  </si>
  <si>
    <t>7.4.3</t>
  </si>
  <si>
    <t>7.4.3.1</t>
  </si>
  <si>
    <t>7.4.3.2</t>
  </si>
  <si>
    <t>8.1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</si>
  <si>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</si>
  <si>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</si>
  <si>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</si>
  <si>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</si>
  <si>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</si>
  <si>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</si>
  <si>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</si>
  <si>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</si>
  <si>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</si>
  <si>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8.2</t>
  </si>
  <si>
    <t>8.2.1</t>
  </si>
  <si>
    <t>8.2.2</t>
  </si>
  <si>
    <t>8.3</t>
  </si>
  <si>
    <t>8.3.1</t>
  </si>
  <si>
    <t>8.3.2</t>
  </si>
  <si>
    <t>8.3.3</t>
  </si>
  <si>
    <t>9.1</t>
  </si>
  <si>
    <t>9.1.1</t>
  </si>
  <si>
    <t>9.1.1.1</t>
  </si>
  <si>
    <t>9.1.1.2</t>
  </si>
  <si>
    <t>9.1.1.3</t>
  </si>
  <si>
    <t>9.1.1.4</t>
  </si>
  <si>
    <t>9.1.1.5</t>
  </si>
  <si>
    <t>9.1.1.6</t>
  </si>
  <si>
    <t>9.1.1.7</t>
  </si>
  <si>
    <t>9.1.2</t>
  </si>
  <si>
    <t>9.1.2.1</t>
  </si>
  <si>
    <t>9.1.2.2</t>
  </si>
  <si>
    <t>9.1.2.3</t>
  </si>
  <si>
    <t>9.1.2.4</t>
  </si>
  <si>
    <t>9.1.2.5</t>
  </si>
  <si>
    <t>9.1.2.6</t>
  </si>
  <si>
    <t>9.1.2.7</t>
  </si>
  <si>
    <t>9.1.2.8</t>
  </si>
  <si>
    <t>9.1.2.9</t>
  </si>
  <si>
    <t>9.1.2.10</t>
  </si>
  <si>
    <t>9.1.2.11</t>
  </si>
  <si>
    <t>9.1.2.12</t>
  </si>
  <si>
    <t>9.1.2.13</t>
  </si>
  <si>
    <t>9.1.3</t>
  </si>
  <si>
    <t>9.1.3.1</t>
  </si>
  <si>
    <t>9.1.3.2</t>
  </si>
  <si>
    <t>9.1.3.3</t>
  </si>
  <si>
    <t>9.1.3.4</t>
  </si>
  <si>
    <t>9.1.3.5</t>
  </si>
  <si>
    <t>9.1.3.6</t>
  </si>
  <si>
    <t>9.1.3.7</t>
  </si>
  <si>
    <t>9.1.3.8</t>
  </si>
  <si>
    <t>9.1.3.9</t>
  </si>
  <si>
    <t>9.2</t>
  </si>
  <si>
    <t>9.2.1</t>
  </si>
  <si>
    <t>9.2.1.1</t>
  </si>
  <si>
    <t>9.2.1.2</t>
  </si>
  <si>
    <t>9.2.1.3</t>
  </si>
  <si>
    <t>9.2.1.4</t>
  </si>
  <si>
    <t>9.2.1.5</t>
  </si>
  <si>
    <t>9.2.1.6</t>
  </si>
  <si>
    <t>9.2.1.7</t>
  </si>
  <si>
    <t>9.2.1.8</t>
  </si>
  <si>
    <t>9.2.1.9</t>
  </si>
  <si>
    <t>9.2.1.10</t>
  </si>
  <si>
    <t>9.2.1.11</t>
  </si>
  <si>
    <t>9.2.1.12</t>
  </si>
  <si>
    <t>9.2.1.13</t>
  </si>
  <si>
    <t>9.2.1.14</t>
  </si>
  <si>
    <t>9.2.1.15</t>
  </si>
  <si>
    <t>9.2.1.16</t>
  </si>
  <si>
    <t>9.2.1.17</t>
  </si>
  <si>
    <t>9.2.1.18</t>
  </si>
  <si>
    <t>9.2.1.19</t>
  </si>
  <si>
    <t>9.2.1.20</t>
  </si>
  <si>
    <t>9.2.1.21</t>
  </si>
  <si>
    <t>9.2.1.22</t>
  </si>
  <si>
    <t>9.2.1.23</t>
  </si>
  <si>
    <t>9.2.1.24</t>
  </si>
  <si>
    <t>9.2.1.25</t>
  </si>
  <si>
    <t>9.2.1.26</t>
  </si>
  <si>
    <t>9.2.1.27</t>
  </si>
  <si>
    <t>9.2.1.28</t>
  </si>
  <si>
    <t>9.2.1.29</t>
  </si>
  <si>
    <t>9.2.1.30</t>
  </si>
  <si>
    <t>9.2.1.31</t>
  </si>
  <si>
    <t>9.2.1.32</t>
  </si>
  <si>
    <t>9.2.1.33</t>
  </si>
  <si>
    <t>9.2.1.34</t>
  </si>
  <si>
    <t>9.2.1.35</t>
  </si>
  <si>
    <t>9.2.1.36</t>
  </si>
  <si>
    <t>9.2.1.37</t>
  </si>
  <si>
    <t>9.2.1.38</t>
  </si>
  <si>
    <t>9.2.1.39</t>
  </si>
  <si>
    <t>9.2.1.40</t>
  </si>
  <si>
    <t>9.3</t>
  </si>
  <si>
    <t>9.3.1</t>
  </si>
  <si>
    <t>9.3.1.1</t>
  </si>
  <si>
    <t>9.3.1.2</t>
  </si>
  <si>
    <t>9.3.1.3</t>
  </si>
  <si>
    <t>9.3.1.4</t>
  </si>
  <si>
    <t>9.3.1.5</t>
  </si>
  <si>
    <t>9.3.1.6</t>
  </si>
  <si>
    <t>9.3.1.7</t>
  </si>
  <si>
    <t>9.3.1.8</t>
  </si>
  <si>
    <t>9.3.1.9</t>
  </si>
  <si>
    <t>9.3.1.10</t>
  </si>
  <si>
    <t>9.3.1.11</t>
  </si>
  <si>
    <t>9.3.1.12</t>
  </si>
  <si>
    <t>9.3.1.13</t>
  </si>
  <si>
    <t>9.3.1.14</t>
  </si>
  <si>
    <t>9.3.1.15</t>
  </si>
  <si>
    <t>9.3.1.16</t>
  </si>
  <si>
    <t>9.3.1.17</t>
  </si>
  <si>
    <t>9.3.1.18</t>
  </si>
  <si>
    <t>9.3.1.19</t>
  </si>
  <si>
    <t>9.3.1.20</t>
  </si>
  <si>
    <t>9.4</t>
  </si>
  <si>
    <t>9.4.1</t>
  </si>
  <si>
    <t>9.4.2</t>
  </si>
  <si>
    <t>9.4.3</t>
  </si>
  <si>
    <t>9.4.4</t>
  </si>
  <si>
    <t>10.1</t>
  </si>
  <si>
    <t>10.2</t>
  </si>
  <si>
    <t>10.3</t>
  </si>
  <si>
    <t>10.4</t>
  </si>
  <si>
    <t>10.5</t>
  </si>
  <si>
    <t>10.6</t>
  </si>
  <si>
    <t>10.7</t>
  </si>
  <si>
    <t>(</t>
  </si>
  <si>
    <t>)  x</t>
  </si>
  <si>
    <t>igual ao item 5.2.1</t>
  </si>
  <si>
    <t>igual ao item 5.2.2</t>
  </si>
  <si>
    <t>Município de João Monlevade</t>
  </si>
  <si>
    <t>igual ao item 7.2.1</t>
  </si>
  <si>
    <t>igual ao item 7.4.3.2</t>
  </si>
  <si>
    <t>Igual ao item 8.1.1</t>
  </si>
  <si>
    <t>R$ Período:</t>
  </si>
  <si>
    <t>CPU-001</t>
  </si>
  <si>
    <t>LOCAL: RUA ITAOBIM, S/N, BAIRRO MIRANTE DAS ÁGUAS</t>
  </si>
  <si>
    <t>PRAZO DE EXECUÇÃO: 4 MESES</t>
  </si>
  <si>
    <t xml:space="preserve">CONCRETAGEM DE SAPATA, FCK 30 MPA, COM USO DE JERICA - LANÇAMENTO, ADENSAMENTO E ACABAMENTO. </t>
  </si>
  <si>
    <t>CONCRETAGEM DE BLOCO DE COROAMENTO OU VIGA BALDRAME, FCK 30 MPA, COM USO DE JERICA - LANÇAMENTO, ADENSAMENTO E ACABAMENTO.</t>
  </si>
  <si>
    <t>item 3.1.1</t>
  </si>
  <si>
    <t>item 3.1.3 (vol. Em m3)</t>
  </si>
  <si>
    <t>Item 3.1.8</t>
  </si>
  <si>
    <t xml:space="preserve">MUNICIPIO DE JOÃO MONLEVADE - MG </t>
  </si>
  <si>
    <t>OBRA DE EXECUÇÃO DE HABITAÇÃO SOCIAL - ÁREA = 70M²</t>
  </si>
  <si>
    <t>ESQUADRIAS</t>
  </si>
  <si>
    <t>9.1.1.8</t>
  </si>
  <si>
    <t>ED-14186</t>
  </si>
  <si>
    <t>QUADRO DE DISTRIBUIÇÃO DE EMBUTIR EM CHAPA, PARA 16 DISJUNTORES DIN, INCLUSIVE BARRAMENTOS NEUTRO/TERRA E BARRAMENTO TRIFÁSICO DE 100A</t>
  </si>
  <si>
    <t>ED-15748</t>
  </si>
  <si>
    <t>CONJUNTO DE UMA (1) TOMADA PADRÃO, TRÊS (3) POLOS, CORRENTE 10A, TENSÃO 250V, (2P+T/10A-250V), COM PLACA 4"X2" DE UM (1) POSTO, INCLUSIVE FORNECIMENTO , INSTALAÇÃO, SUPORTE, MÓDULO E PLACA</t>
  </si>
  <si>
    <t>ED-15755</t>
  </si>
  <si>
    <t>CONJUNTO DE DUAS (2) TOMADAS PADRÃO, TRÊS (3) POLOS, CORRENTE 10A, TENSÃO 250V, (2P+T/10A-250V), COM PLACA 4"X2" DE DOIS (2) POSTOS, INCLUSIVE FORNECIMENTO, INSTALAÇÃO,SUPORTE, MÓDULO E PLACA</t>
  </si>
  <si>
    <t>CONJUNTO DE DUAS (2) TOMADAS PADRÃO, TRÊS (3) POLOS, CORRENTE 10A E 20A, TENSÃO 250V, (2P+T/10A-250V) E  (2P+T/20A-250V), COM PLACA 4"X2" DE DOIS (2) POSTOS, INCLUSIVE FORNECIMENTO, INSTALAÇÃO,SUPORTE, MÓDULO E PLACA</t>
  </si>
  <si>
    <t>ED-15765</t>
  </si>
  <si>
    <t>CONJUNTO DE UM (1) INTERRUPTOR SIMPLES, CORRENTE 10A, TENSÃO 250V, (10A-250V) E UMA (1) TOMADA PADRÃO, TRÊS (3) POLOS, CORRENTE 10A, TENSÃO 250V, (2P+T/10A-250V), COM PLACA 4"X2" DE DOIS (2) POSTOS, INCLUSIVE FORNECIMENTO, INSTALAÇÃO, SUPORTE, MÓDULO E PLACA</t>
  </si>
  <si>
    <t>ED-15771</t>
  </si>
  <si>
    <t>CONJUNTO DE DOIS (2) INTERRUPTORES SIMPLES, CORRENTE 10A, TENSÃO 250V, (10A-250V) E UMA (1) TOMADA PADRÃO, TRÊS (3) POLOS, CORRENTE 10A, TENSÃO 250V, (2P+T/10A-250V), COM PLACA 4"X2" DE TRÊS (3) POSTOS, INCLUSIVE FORNECIMENTO, INSTALAÇÃO, SUPORTE, MÓDULO E PLACA</t>
  </si>
  <si>
    <t>ED-15736</t>
  </si>
  <si>
    <t>ED-15766</t>
  </si>
  <si>
    <t>CONJUNTO DE UM (1) INTERRUPTOR PARALELO, CORRENTE 10A, TENSÃO 250V, (10A-250V) E UMA (1) TOMADA PADRÃO, TRÊS (3) POLOS, CORRENTE 10A, TENSÃO 250V, (2P+T/10A-250V), COM PLACA 4"X2" DE DOIS (2) POSTOS, INCLUSIVE FORNECIMENTO,INSTALAÇÃO, SUPORTE, MÓDULO E PLACA</t>
  </si>
  <si>
    <t xml:space="preserve">ED-15763 </t>
  </si>
  <si>
    <t>CONJUNTO DE UM (1) MÓDULO COM FURO PARA SAÍDA DE FIO Ø10MM, COM PLACA 4"X2" DE UM (1) POSTO, INCLUSIVE FORNECIMENTO, INSTALAÇÃO, SUPORTE, MÓDULO E PLACA</t>
  </si>
  <si>
    <t>ED-50314</t>
  </si>
  <si>
    <t>CHUVEIRO ELÉTRICO COM RESISTÊNCIA BLINDADA, TENSÃO 127V/220V, POTÊNCIA 5500W/6800W, INCLUSIVE BRAÇO/CANO</t>
  </si>
  <si>
    <t>ED-49189</t>
  </si>
  <si>
    <t>CAIXA DE LIGAÇÃO/PASSAGEM EM PVC RÍGIDO PARA ELETRODUTO, OCTOGONAL COM FUNDO MÓVEL, DIMENSÃO 4"X4" , EMBUTIDA EM LAJE, INCLUSIVE FIXAÇÃO</t>
  </si>
  <si>
    <t>ED-13344</t>
  </si>
  <si>
    <t>LÂMPADA LED, BASE E27, POTÊNCIA DE 20W, BULBO A70, TEMPERATURA DA COR 6500K, TENSÃO 110-127V, EXCLUSIVELUMINÁRIA</t>
  </si>
  <si>
    <t>LUMINÁRIA DE TETO COM BASE (MODELO: PLAFONIER|BASE: PLÁSTICO-POLIPROPILENO|SOQUETE: INCLUSO|TIPO DE SOQUETE: E27|MATERIAL DO SOQUETE: PORCELANA|POTÊNCIA MÁXIMA LÂMPADA: 60W|LÂMPADA: NÃO INCLUSA), INCLUSIVE FORNECIMENTO E INSTALAÇÃO</t>
  </si>
  <si>
    <t>ED-49187</t>
  </si>
  <si>
    <t>CAIXA DE LIGAÇÃO/PASSAGEM EM PVC RÍGIDO PARA ELETRODUTO, DIMENSÃO 4"X2", EMBUTIDA EM ALVENARIA, INCLUSIVE FIXAÇÃO</t>
  </si>
  <si>
    <t>ED-48946</t>
  </si>
  <si>
    <t>CABO ISOLADO DE COBRE FLEXÍVEL, CLASSE 5, ISOLAMENTO TIPO LSHF/ATOX, NÃO HALOGENADO E ANTICHAMA, DIÂMETRO DA SEÇÃO DE 1,5MM2, TEMPERATURA DE TRABALHO 70°C, TENSÃO NOMINAL DE OPERAÇÃO 450/750V</t>
  </si>
  <si>
    <t>ED-48951</t>
  </si>
  <si>
    <t>ED-48961</t>
  </si>
  <si>
    <t>ED-49001</t>
  </si>
  <si>
    <t>CABO UNIPOLAR DE COBRE FLEXÍVEL, CLASSE 5, ISOLAMENTO TIPO EPR/HEPR, NÃO HALOGENADO E ANTICHAMA, DIÂMETRO DA SEÇÃO DE 16MM2, TEMPERATURA DE TRABALHO 90°C, TENSÃO NOMINAL DE OPERAÇÃO 0,6/1KV</t>
  </si>
  <si>
    <t>ED-49414</t>
  </si>
  <si>
    <t>ELETRODUTO FLEXÍVEL CORRUGADO, PVC, ANTI-CHAMA, DN 25MM (3/4"), APLICADO EM ALVENARIA, INCLUSIVE RASGO</t>
  </si>
  <si>
    <t>ED-7250</t>
  </si>
  <si>
    <t>ELETRODUTO FLEXÍVEL, EM AÇO GALVANIZADO, DIÂMETRO DE 32MM (1.1/4"), REVESTIDO EXTERNAMENTE COM PVC, NA COR PRETA, INCLUSIVE ACESSÓRIOS PARA FIXAÇÃO E CONEXÕES</t>
  </si>
  <si>
    <t>ED-49132</t>
  </si>
  <si>
    <t>CABO DE COBRE NU # 10 MM2, ENTERRADO, EXCLUSIVE ESCAVAÇÃO E REATERRO</t>
  </si>
  <si>
    <t>CONJUNTO DE UM (1) INTERRUPTOR PARALELO, CORRENTE 10A, TENSÃO 250V, (10A-250V), COM PLACA 4"X2" DE UM (1) POSTO, INCLUSIVE FORNECIMENTO, INSTALAÇÃO, SUPORTE, MÓDULO E PLACA</t>
  </si>
  <si>
    <t>CABO ISOLADO DE COBRE FLEXÍVEL, CLASSE 5, ISOLAMENTO TIPO LSHF/ATOX, NÃO HALOGENADO E ANTICHAMA, DIÂMETRO DA SEÇÃO DE 2,5MM2, TEMPERATURA DE TRABALHO 70°C, TENSÃO NOMINAL DE OPERAÇÃO 450/750V</t>
  </si>
  <si>
    <t>CABO ISOLADO DE COBRE FLEXÍVEL, CLASSE 5, ISOLAMENTO TIPO LSHF/ATOX, NÃO HALOGENADO E ANTICHAMA, DIÂMETRO DA SEÇÃO DE 6MM2, TEMPERATURA DE TRABALHO 70°C, TENSÃO NOMINAL DE OPERAÇÃO 450/750V</t>
  </si>
  <si>
    <t>ED-34460</t>
  </si>
  <si>
    <t>DISJUNTOR MONOPOLAR TIPO DIN, CORRENTE NOMINAL DE 10A, FORNECIMENTO E INSTALAÇÃO, INCLUSIVE TERMINAL ILHÓS</t>
  </si>
  <si>
    <t>ED-34461</t>
  </si>
  <si>
    <t>DISJUNTOR MONOPOLAR TIPO DIN, CORRENTE NOMINAL DE 16A, FORNECIMENTO E INSTALAÇÃO, INCLUSIVE TERMINAL ILHÓS</t>
  </si>
  <si>
    <t>ED-34462</t>
  </si>
  <si>
    <t>DISJUNTOR MONOPOLAR TIPO DIN, CORRENTE NOMINAL DE 20A, FORNECIMENTO E INSTALAÇÃO, INCLUSIVE TERMINAL ILHÓS</t>
  </si>
  <si>
    <t>ED-34478</t>
  </si>
  <si>
    <t>DISJUNTOR BIPOLAR TIPO DIN, CORRENTE NOMINAL DE 40A, FORNECIMENTO E INSTALAÇÃO, INCLUSIVE TERMINAL ILHÓS</t>
  </si>
  <si>
    <t>ED-34493</t>
  </si>
  <si>
    <t>DISJUNTOR TRIPOLAR TIPO DIN, CORRENTE NOMINAL DE 63A, FORNECIMENTO E INSTALAÇÃO, INCLUSIVE TERMINAL ILHÓS</t>
  </si>
  <si>
    <t>ED-16600</t>
  </si>
  <si>
    <t>DISPOSITIVO DE PROTEÇÃO CONTRA SURTOS (DPS) MONOPOLAR, CORRENTE DE INTERRUPÇÃO 20KA, INCLUSIVE TERMINAL ILHÓS</t>
  </si>
  <si>
    <t>ED-15117</t>
  </si>
  <si>
    <t>DISJUNTOR DE PROTEÇÃO DIFERENCIAL RESIDUAL (DR), TETRAPOLAR TIPO DIN, CORRENTE NOMINAL DE 63A, SENSIBILIDADE DE 30MA, FORNECIMENTO E INSTALAÇÃO, INCLUSIVE TERMINAL ILHÓS</t>
  </si>
  <si>
    <t>CABEAMENTO, ELETRODUTOS E ENTRADA DE ENERGIA</t>
  </si>
  <si>
    <t>ED-48700</t>
  </si>
  <si>
    <t>ATERRAMENTO COM HASTE DE COBRE, TIPO COPPERWELD, DIÂMETRO DE 5/8", COMPRIMENTO DE 240CM, EXCLUSIVE CABO E CAIXA PARA ATERRAMENTO, INCLUSIVE GRAMPO PARA HASTE E INSTALAÇÃO</t>
  </si>
  <si>
    <t>ED-51055</t>
  </si>
  <si>
    <t>CAIXA DE INSPEÇÃO EM PVC, DIÂMETRO DE 30CM, ALTURA DE 30CM, COM TAMPA EM FERRO FUNDIDO, EXCLUSIVE HASTE DE ATERRAMENTO, INCLUSIVE INSTALAÇÃO</t>
  </si>
  <si>
    <t>ED-49168</t>
  </si>
  <si>
    <t>CAIXA DE PASSAGEM EM ALVENARIA E TAMPA DE CONCRETO, FUNDO DE BRITA, TIPO 1, DIMENSÃO (30X30X40)CM, INCLUSIVE ESCAVAÇÃO, REATERRO E BOTA-FORA</t>
  </si>
  <si>
    <t>ENTRADA DE ENERGIA AÉREA, TIPO C1, PADRÃO CEMIG, CARGA INSTALADA DE 0KVA ATÉ 24KVA, TRIFÁSICO, COM SAÍDA SUBTERRÂNEA, INCLUSIVE POSTE, CAIXA PARA MEDIDOR, DISJUNTOR, BARRAMENTO, ATERRAMENTO E ACESSÓRIOS</t>
  </si>
  <si>
    <t>9.1.3.10</t>
  </si>
  <si>
    <t>9.1.3.11</t>
  </si>
  <si>
    <t>9.1.3.12</t>
  </si>
  <si>
    <t>ED-5614</t>
  </si>
  <si>
    <t>SUPORTE PARA PLACA 4"X2" PARA TRÊS (3) MÓDULOS, INCLUSIVE PARAFUSOS PARA
FIXAÇÃO, FORNECIMENTO E INSTALAÇÃO, EXCLUSIVE PLACA E MÓDULO</t>
  </si>
  <si>
    <t>ED-5621</t>
  </si>
  <si>
    <t>PLACA 4"X2" PARA DOIS (2) MÓDULOS, INCLUSIVE FORNECIMENTO E INSTALAÇÃO,
EXCLUSIVE SUPORTE E MÓDULO</t>
  </si>
  <si>
    <t>ED-5626</t>
  </si>
  <si>
    <t>MÓDULO TOMADA PADRÃO, TRÊS (3) POLOS, CORRENTE 10A, TENSÃO 250V, (2P+T/10A-
250V), INCLUSIVE FORNECIMENTO E INSTALAÇÃO, EXCLUSIVE PLACA E SUPORTES</t>
  </si>
  <si>
    <t>ED-5627</t>
  </si>
  <si>
    <t>MÓDULO TOMADA PADRÃO, TRÊS (3) POLOS, CORRENTE 20A, TENSÃO 250V, (2P+T/20A-250V), INCLUSIVE FORNECIMENTO E INSTALAÇÃO, EXCLUSIVE PLACA E SUPORTE</t>
  </si>
  <si>
    <t>MATED-12612</t>
  </si>
  <si>
    <t>CABO DE COBRE NU (SEÇÃO TRANSVERSAL: 10MM2|NÚMEROS DE FIOS: 7|DIÂMETRO
DOS FIOS: 1,36MM|CLASSE: 2A)</t>
  </si>
  <si>
    <t>MATED-12995</t>
  </si>
  <si>
    <t>CONECTOR FENDIDO DE PRESSÃO "SPLITBOLT" (ACABAMENTO: ESTANHADO BIMETÁLICO|SEÇÃO
DO CABO: 2,5-25MM2)</t>
  </si>
  <si>
    <t>MATED-17038</t>
  </si>
  <si>
    <t>DISJUNTOR (TIPO: TRIPOLAR|CURVA:C|CORRENTE: 63A|I MÁX: 10KA)</t>
  </si>
  <si>
    <t>MATED-19556</t>
  </si>
  <si>
    <t>BARRA CHATA (MATERIAL: COBRE ELETROLÍTICO|APLICAÇÃO: BARRAMENTO)</t>
  </si>
  <si>
    <t>MATED-20647</t>
  </si>
  <si>
    <t>ARAME GALVANIZADO (BITOLA: 12BWG|DIÂMETRO DO FIO: 2,77MM|MASSA LINEAR: 0,0454KG/M)</t>
  </si>
  <si>
    <t>ED-20648</t>
  </si>
  <si>
    <t>POSTE PARA ENTRADA DE ENERGIA EM AÇO GALVANIZADO, TIPO PA-2 OU PA-4, DIÂMETRO
NOMINAL DE 102MM, ESP. 2MM, INCLUSIVE TAMPÃO - FORNECIMENTO, EXCLUSIVE
MONTAGEM E INSTALAÇÃO</t>
  </si>
  <si>
    <t>ED-48231</t>
  </si>
  <si>
    <t>ALVENARIA DE VEDAÇÃO COM TIJOLO CERÂMICO FURADO, ESP. 9CM, PARA
REVESTIMENTO, INCLUSIVE ARGAMASSA PARA ASSENTAMENTO</t>
  </si>
  <si>
    <t>M²</t>
  </si>
  <si>
    <t>ATERRAMENTO COM HASTE DE COBRE, TIPO COPPERWELD, DIÂMETRO DE 5/8",
COMPRIMENTO DE 240CM, EXCLUSIVE CABO E CAIXA PARA ATERRAMENTO, INCLUSIVE GRAMPO
PARA HASTE E INSTALAÇÃO</t>
  </si>
  <si>
    <t>ED-48704</t>
  </si>
  <si>
    <t>ABRAÇADEIRA AJUSTÁVEL PARA POSTE, EM AÇO GALVANIZADO, COMPRIMENTO 80CM,
INCLUSIVE INSTALAÇÃO</t>
  </si>
  <si>
    <t>ED-49064</t>
  </si>
  <si>
    <t>CABEÇOTE DE ALUMÍNIO PARA POSTE, DIÂMETRO 1.1/4", EXCLUSIVE ELETRODUTO,
INCLUSIVE INSTALAÇÃO</t>
  </si>
  <si>
    <t>ED-49212</t>
  </si>
  <si>
    <t>CAIXA PARA MEDIÇÃO, TIPO CM-2, DIMENSÕES CONFORME PADRÃO CEMIG, EXCLUSIVE DISJUNTOR, INCLUSIVE INSTALAÇÃO</t>
  </si>
  <si>
    <t>ED-49308</t>
  </si>
  <si>
    <t>ELETRODUTO DE PVC RÍGIDO ROSCÁVEL , DN 20 MM (3/4"), INCLUSIVE CONEXÕES,
SUPORTES E FIXAÇÃO</t>
  </si>
  <si>
    <t>ED-49310</t>
  </si>
  <si>
    <t>ELETRODUTO DE PVC RÍGIDO ROSCÁVEL , DIÂMETRO DE 32MM (1.1/4"), INCLUSIVE
ACESSÓRIOS PARA FIXAÇÃO E CONEXÕES</t>
  </si>
  <si>
    <t>ED-49440</t>
  </si>
  <si>
    <t>ARMAÇÃO SECUNDÁRIA DE UM ESTRIBO, EM AÇO GALVANIZADO, PARA FIXAÇÃO DE
ISOLADOR ROLDANA, EXCLUSIVE ISOLADOR, INCLUSIVE INSTALAÇÃO</t>
  </si>
  <si>
    <t>ED-49443</t>
  </si>
  <si>
    <t>ISOLADOR ROLDANA EM PORCELANA, TENSÃO NOMINAL 1KV, EXCLUSIVE ARMAÇÃO
SECUNDÁRIA, INCLUSIVE INSTALAÇÃO</t>
  </si>
  <si>
    <t>ED-50362</t>
  </si>
  <si>
    <t>AJUDANTE DE ELETRICISTA COM ENCARGOS COMPLEMENTARES</t>
  </si>
  <si>
    <t>ED-50373</t>
  </si>
  <si>
    <t>ELETRICISTA COM ENCARGOS COMPLEMENTARES</t>
  </si>
  <si>
    <t>ED-50727</t>
  </si>
  <si>
    <t>CHAPISCO COM ARGAMASSA, TRAÇO 1:3 (CIMENTO E AREIA), ESP. 5MM, APLICADO EM
ALVENARIA/ESTRUTURA DE CONCRETO COM COLHER, INCLUSIVE ARGAMASSA COM PREPARO
MECANIZADO</t>
  </si>
  <si>
    <t>ED-50760</t>
  </si>
  <si>
    <t>REBOCO COM ARGAMASSA, TRAÇO 1:2:9 (CIMENTO, CAL E AREIA), COM ADITIVO
IMPERMEABILIZANTE, ESP. 20MM, APLICAÇÃO MANUAL, INCLUSIVE ARGAMASSA COM PREPARO
MECANIZADO, EXCLUSIVE CHAPISCO</t>
  </si>
  <si>
    <t>CAIXA DE INSPEÇÃO EM PVC, DIÂMETRO DE 30CM, ALTURA DE 30CM, COM TAMPA EM
FERRO FUNDIDO, EXCLUSIVE HASTE DE ATERRAMENTO, INCLUSIVE INSTALAÇÃO</t>
  </si>
  <si>
    <t>SICOR MG</t>
  </si>
  <si>
    <t>MATED-14405</t>
  </si>
  <si>
    <t>LUMINÁRIA DE TETO COM BASE (MODELO: PLAFONIER|BASE: PLÁSTICO-POLIPROPILENO|SOQUETE: INCLUSO|TIPO DE SOQUETE: E27|MATERIAL DO SOQUETE: PORCELANA|POTÊNCIA MÁXIMA LÂMPADA: 60W|LÂMPADA: NÃO INCLUSA)</t>
  </si>
  <si>
    <t>CPU-006</t>
  </si>
  <si>
    <t>CPU-008</t>
  </si>
  <si>
    <t>CPU-007</t>
  </si>
  <si>
    <t>CONCRETAGEM DE PILARES, FCK = 25 MPA,  COM USO DE BALDES - LANÇAMENTO, ADENSAMENTO E ACABAMENTO. AF_02/2022</t>
  </si>
  <si>
    <t>103675</t>
  </si>
  <si>
    <t>CONCRETAGEM DE VIGAS E LAJES, FCK=25 MPA, PARA LAJES MACIÇAS OU NERVURADAS COM USO DE BOMBA - LANÇAMENTO, ADENSAMENTO E ACABAMENTO. AF_02/2022_PS</t>
  </si>
  <si>
    <t>UNIDADE</t>
  </si>
  <si>
    <t>REFERÊNCIA:  SICOR MG 07/2025 - SINAPI 08/2025 NÃO DESONERADA</t>
  </si>
  <si>
    <t>5.</t>
  </si>
  <si>
    <t>CREA MG 204.411/D</t>
  </si>
  <si>
    <t>DEMONSTRATIVO DE BDI - SEM DESONERAÇÃO - OBRA DE CONSTRUÇÃO DE EDIFÍCIOS</t>
  </si>
  <si>
    <t>INCIDÊNCIA DE ISS EM 100% DO PREÇO DE VENDA, COM PERCENTUAIS DE 2%, 3%, 4% E 5%</t>
  </si>
  <si>
    <t xml:space="preserve">OBRA: OBRAS DE CONSTRUÇÃO DE HABITAÇÃO DE INTERESSE SOCIAL </t>
  </si>
  <si>
    <t>SOLICITANTE: MUNICÍPIO DE JOÃO MONLEVADE - MG</t>
  </si>
  <si>
    <t>DATA: 24/11/2025</t>
  </si>
</sst>
</file>

<file path=xl/styles.xml><?xml version="1.0" encoding="utf-8"?>
<styleSheet xmlns="http://schemas.openxmlformats.org/spreadsheetml/2006/main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\."/>
    <numFmt numFmtId="167" formatCode="_(\ #,##0.00_);_(&quot; (&quot;#,##0.00\);_(&quot; -&quot;??_);_(@_)"/>
    <numFmt numFmtId="168" formatCode="mm/yy"/>
    <numFmt numFmtId="169" formatCode="General;General;"/>
    <numFmt numFmtId="170" formatCode="_(* #,##0.000000_);_(* \(#,##0.000000\);_(* &quot;-&quot;??_);_(@_)"/>
    <numFmt numFmtId="171" formatCode="0.0%"/>
    <numFmt numFmtId="172" formatCode="0.000"/>
    <numFmt numFmtId="173" formatCode="0.000%"/>
    <numFmt numFmtId="174" formatCode="0.0"/>
  </numFmts>
  <fonts count="3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6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10"/>
      <color indexed="10"/>
      <name val="Arial Narrow"/>
      <family val="2"/>
    </font>
    <font>
      <b/>
      <sz val="12"/>
      <name val="Arial Narrow"/>
      <family val="2"/>
    </font>
    <font>
      <sz val="9"/>
      <name val="Arial Narrow"/>
      <family val="2"/>
    </font>
    <font>
      <b/>
      <sz val="7"/>
      <name val="Arial Narrow"/>
      <family val="2"/>
    </font>
    <font>
      <b/>
      <sz val="8"/>
      <color theme="1"/>
      <name val="Arial Narrow"/>
      <family val="2"/>
    </font>
    <font>
      <sz val="10"/>
      <color indexed="8"/>
      <name val="Arial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sz val="11"/>
      <color indexed="8"/>
      <name val="Arial Narrow"/>
      <family val="2"/>
    </font>
    <font>
      <b/>
      <sz val="9"/>
      <name val="Arial Narrow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u/>
      <sz val="8"/>
      <name val="Arial Narrow"/>
      <family val="2"/>
    </font>
    <font>
      <u/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14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lightUp">
        <fgColor indexed="22"/>
      </patternFill>
    </fill>
    <fill>
      <patternFill patternType="solid">
        <fgColor rgb="FF9ECACA"/>
        <bgColor indexed="64"/>
      </patternFill>
    </fill>
    <fill>
      <patternFill patternType="solid">
        <fgColor rgb="FF9BCAC9"/>
        <bgColor indexed="4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7E9E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9" fontId="1" fillId="0" borderId="0" applyFill="0" applyBorder="0" applyAlignment="0" applyProtection="0"/>
    <xf numFmtId="43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4" fontId="1" fillId="0" borderId="25">
      <alignment vertical="justify"/>
    </xf>
    <xf numFmtId="0" fontId="1" fillId="0" borderId="0"/>
  </cellStyleXfs>
  <cellXfs count="365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vertical="distributed"/>
    </xf>
    <xf numFmtId="1" fontId="13" fillId="0" borderId="3" xfId="11" applyNumberFormat="1" applyFont="1" applyFill="1" applyBorder="1" applyAlignment="1">
      <alignment horizontal="center" vertical="center" wrapText="1"/>
    </xf>
    <xf numFmtId="2" fontId="13" fillId="0" borderId="3" xfId="11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64" fontId="11" fillId="3" borderId="3" xfId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1" fontId="13" fillId="0" borderId="3" xfId="11" applyNumberFormat="1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2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10" fontId="15" fillId="0" borderId="3" xfId="0" applyNumberFormat="1" applyFont="1" applyBorder="1" applyAlignment="1">
      <alignment horizontal="left" vertical="center"/>
    </xf>
    <xf numFmtId="10" fontId="15" fillId="0" borderId="3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7" fillId="0" borderId="3" xfId="8" applyFont="1" applyBorder="1" applyAlignment="1">
      <alignment horizontal="center"/>
    </xf>
    <xf numFmtId="168" fontId="17" fillId="0" borderId="3" xfId="8" applyNumberFormat="1" applyFont="1" applyBorder="1" applyAlignment="1">
      <alignment horizontal="center"/>
    </xf>
    <xf numFmtId="166" fontId="18" fillId="0" borderId="3" xfId="8" applyNumberFormat="1" applyFont="1" applyBorder="1" applyAlignment="1">
      <alignment horizontal="left"/>
    </xf>
    <xf numFmtId="167" fontId="19" fillId="0" borderId="3" xfId="3" applyNumberFormat="1" applyFont="1" applyFill="1" applyBorder="1" applyAlignment="1" applyProtection="1">
      <alignment horizontal="center" vertical="center"/>
    </xf>
    <xf numFmtId="0" fontId="18" fillId="0" borderId="3" xfId="8" applyFont="1" applyBorder="1"/>
    <xf numFmtId="0" fontId="18" fillId="2" borderId="3" xfId="8" applyFont="1" applyFill="1" applyBorder="1"/>
    <xf numFmtId="0" fontId="13" fillId="0" borderId="0" xfId="0" applyFont="1" applyAlignment="1">
      <alignment horizontal="center"/>
    </xf>
    <xf numFmtId="0" fontId="19" fillId="0" borderId="0" xfId="0" applyFont="1"/>
    <xf numFmtId="4" fontId="19" fillId="0" borderId="0" xfId="0" applyNumberFormat="1" applyFont="1" applyAlignment="1">
      <alignment horizontal="center"/>
    </xf>
    <xf numFmtId="0" fontId="16" fillId="0" borderId="9" xfId="0" applyFont="1" applyBorder="1" applyAlignment="1">
      <alignment vertical="center" wrapText="1"/>
    </xf>
    <xf numFmtId="10" fontId="24" fillId="0" borderId="3" xfId="0" applyNumberFormat="1" applyFont="1" applyBorder="1" applyAlignment="1">
      <alignment horizontal="left" vertical="center" wrapText="1"/>
    </xf>
    <xf numFmtId="0" fontId="24" fillId="0" borderId="3" xfId="0" applyFont="1" applyBorder="1" applyAlignment="1">
      <alignment vertical="center" wrapText="1"/>
    </xf>
    <xf numFmtId="49" fontId="13" fillId="0" borderId="3" xfId="0" applyNumberFormat="1" applyFont="1" applyBorder="1" applyAlignment="1" applyProtection="1">
      <alignment horizontal="center" wrapText="1"/>
      <protection locked="0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 applyProtection="1">
      <alignment horizontal="center" wrapText="1"/>
      <protection locked="0"/>
    </xf>
    <xf numFmtId="44" fontId="13" fillId="0" borderId="3" xfId="0" applyNumberFormat="1" applyFont="1" applyBorder="1" applyAlignment="1">
      <alignment horizontal="center" wrapText="1"/>
    </xf>
    <xf numFmtId="0" fontId="19" fillId="0" borderId="3" xfId="0" applyFont="1" applyBorder="1"/>
    <xf numFmtId="0" fontId="19" fillId="0" borderId="3" xfId="0" applyFont="1" applyBorder="1" applyAlignment="1">
      <alignment vertical="center" wrapText="1"/>
    </xf>
    <xf numFmtId="43" fontId="19" fillId="4" borderId="3" xfId="4" applyFont="1" applyFill="1" applyBorder="1" applyAlignment="1" applyProtection="1">
      <alignment horizontal="center"/>
    </xf>
    <xf numFmtId="43" fontId="19" fillId="4" borderId="3" xfId="4" applyFont="1" applyFill="1" applyBorder="1" applyAlignment="1" applyProtection="1">
      <alignment horizontal="right"/>
    </xf>
    <xf numFmtId="10" fontId="19" fillId="4" borderId="3" xfId="9" applyNumberFormat="1" applyFont="1" applyFill="1" applyBorder="1" applyAlignment="1" applyProtection="1"/>
    <xf numFmtId="43" fontId="11" fillId="4" borderId="3" xfId="4" applyFont="1" applyFill="1" applyBorder="1" applyAlignment="1" applyProtection="1">
      <alignment horizontal="center"/>
    </xf>
    <xf numFmtId="43" fontId="11" fillId="4" borderId="3" xfId="4" applyFont="1" applyFill="1" applyBorder="1" applyAlignment="1" applyProtection="1">
      <alignment horizontal="right"/>
    </xf>
    <xf numFmtId="44" fontId="19" fillId="4" borderId="3" xfId="3" applyNumberFormat="1" applyFont="1" applyFill="1" applyBorder="1" applyAlignment="1" applyProtection="1">
      <alignment shrinkToFit="1"/>
    </xf>
    <xf numFmtId="44" fontId="21" fillId="4" borderId="3" xfId="4" applyNumberFormat="1" applyFont="1" applyFill="1" applyBorder="1" applyAlignment="1" applyProtection="1">
      <alignment shrinkToFit="1"/>
    </xf>
    <xf numFmtId="0" fontId="20" fillId="0" borderId="3" xfId="8" applyFont="1" applyBorder="1" applyAlignment="1">
      <alignment horizontal="left"/>
    </xf>
    <xf numFmtId="44" fontId="19" fillId="0" borderId="3" xfId="3" applyNumberFormat="1" applyFont="1" applyFill="1" applyBorder="1" applyAlignment="1" applyProtection="1">
      <alignment horizontal="right" shrinkToFit="1"/>
    </xf>
    <xf numFmtId="44" fontId="19" fillId="0" borderId="3" xfId="4" applyNumberFormat="1" applyFont="1" applyFill="1" applyBorder="1" applyAlignment="1" applyProtection="1">
      <alignment horizontal="right" shrinkToFit="1"/>
    </xf>
    <xf numFmtId="1" fontId="13" fillId="0" borderId="12" xfId="11" applyNumberFormat="1" applyFont="1" applyFill="1" applyBorder="1" applyAlignment="1">
      <alignment horizontal="right" vertical="center" wrapText="1"/>
    </xf>
    <xf numFmtId="1" fontId="13" fillId="0" borderId="0" xfId="11" applyNumberFormat="1" applyFont="1" applyFill="1" applyBorder="1" applyAlignment="1">
      <alignment horizontal="right" vertical="center" wrapText="1"/>
    </xf>
    <xf numFmtId="164" fontId="13" fillId="0" borderId="13" xfId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left" vertical="center" wrapText="1"/>
    </xf>
    <xf numFmtId="164" fontId="12" fillId="5" borderId="3" xfId="1" applyFont="1" applyFill="1" applyBorder="1" applyAlignment="1">
      <alignment horizontal="center" vertical="center" wrapText="1"/>
    </xf>
    <xf numFmtId="1" fontId="12" fillId="5" borderId="5" xfId="0" applyNumberFormat="1" applyFont="1" applyFill="1" applyBorder="1" applyAlignment="1">
      <alignment vertical="center" wrapText="1"/>
    </xf>
    <xf numFmtId="44" fontId="12" fillId="5" borderId="5" xfId="0" applyNumberFormat="1" applyFont="1" applyFill="1" applyBorder="1" applyAlignment="1">
      <alignment vertical="center" wrapText="1"/>
    </xf>
    <xf numFmtId="0" fontId="19" fillId="0" borderId="11" xfId="0" applyFont="1" applyBorder="1"/>
    <xf numFmtId="0" fontId="23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9" fillId="0" borderId="13" xfId="0" applyFont="1" applyBorder="1"/>
    <xf numFmtId="0" fontId="13" fillId="0" borderId="12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/>
    <xf numFmtId="43" fontId="19" fillId="0" borderId="15" xfId="0" applyNumberFormat="1" applyFont="1" applyBorder="1" applyAlignment="1">
      <alignment horizontal="center"/>
    </xf>
    <xf numFmtId="0" fontId="19" fillId="0" borderId="16" xfId="0" applyFont="1" applyBorder="1"/>
    <xf numFmtId="0" fontId="25" fillId="0" borderId="0" xfId="0" applyFont="1"/>
    <xf numFmtId="0" fontId="1" fillId="0" borderId="0" xfId="0" applyFont="1" applyAlignment="1">
      <alignment wrapText="1"/>
    </xf>
    <xf numFmtId="0" fontId="13" fillId="0" borderId="3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169" fontId="13" fillId="0" borderId="3" xfId="11" applyFont="1" applyFill="1" applyBorder="1" applyAlignment="1">
      <alignment vertical="center"/>
    </xf>
    <xf numFmtId="170" fontId="26" fillId="0" borderId="3" xfId="11" applyNumberFormat="1" applyFont="1" applyFill="1" applyBorder="1" applyAlignment="1">
      <alignment vertical="center" wrapText="1"/>
    </xf>
    <xf numFmtId="164" fontId="26" fillId="0" borderId="3" xfId="1" applyFont="1" applyBorder="1" applyAlignment="1">
      <alignment vertical="center"/>
    </xf>
    <xf numFmtId="0" fontId="1" fillId="0" borderId="0" xfId="0" applyFont="1"/>
    <xf numFmtId="165" fontId="26" fillId="0" borderId="3" xfId="3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165" fontId="13" fillId="0" borderId="3" xfId="3" applyFont="1" applyFill="1" applyBorder="1" applyAlignment="1">
      <alignment horizontal="center" vertical="center" wrapText="1"/>
    </xf>
    <xf numFmtId="1" fontId="26" fillId="0" borderId="3" xfId="3" applyNumberFormat="1" applyFont="1" applyFill="1" applyBorder="1" applyAlignment="1">
      <alignment horizontal="center" vertical="center" wrapText="1"/>
    </xf>
    <xf numFmtId="1" fontId="13" fillId="0" borderId="3" xfId="3" applyNumberFormat="1" applyFont="1" applyFill="1" applyBorder="1" applyAlignment="1">
      <alignment horizontal="center" vertical="center" wrapText="1"/>
    </xf>
    <xf numFmtId="1" fontId="13" fillId="0" borderId="3" xfId="0" applyNumberFormat="1" applyFont="1" applyBorder="1" applyAlignment="1">
      <alignment vertical="center" wrapText="1"/>
    </xf>
    <xf numFmtId="165" fontId="13" fillId="0" borderId="3" xfId="3" applyFont="1" applyBorder="1" applyAlignment="1">
      <alignment horizontal="left" vertical="center" wrapText="1"/>
    </xf>
    <xf numFmtId="172" fontId="13" fillId="0" borderId="3" xfId="11" applyNumberFormat="1" applyFont="1" applyFill="1" applyBorder="1" applyAlignment="1">
      <alignment horizontal="center" vertical="center" wrapText="1"/>
    </xf>
    <xf numFmtId="165" fontId="13" fillId="0" borderId="3" xfId="3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vertical="center" wrapText="1"/>
    </xf>
    <xf numFmtId="43" fontId="0" fillId="0" borderId="0" xfId="0" applyNumberFormat="1"/>
    <xf numFmtId="4" fontId="12" fillId="3" borderId="23" xfId="12" applyFont="1" applyFill="1" applyBorder="1" applyAlignment="1">
      <alignment horizontal="center" vertical="center" wrapText="1"/>
    </xf>
    <xf numFmtId="4" fontId="12" fillId="3" borderId="3" xfId="12" applyFont="1" applyFill="1" applyBorder="1" applyAlignment="1">
      <alignment horizontal="center" vertical="center"/>
    </xf>
    <xf numFmtId="4" fontId="12" fillId="3" borderId="3" xfId="12" applyFont="1" applyFill="1" applyBorder="1" applyAlignment="1">
      <alignment horizontal="center" vertical="center" wrapText="1"/>
    </xf>
    <xf numFmtId="4" fontId="12" fillId="3" borderId="24" xfId="12" applyFont="1" applyFill="1" applyBorder="1" applyAlignment="1">
      <alignment horizontal="center" vertical="center" wrapText="1"/>
    </xf>
    <xf numFmtId="10" fontId="12" fillId="0" borderId="23" xfId="12" applyNumberFormat="1" applyFont="1" applyBorder="1" applyAlignment="1">
      <alignment horizontal="left" vertical="center"/>
    </xf>
    <xf numFmtId="10" fontId="13" fillId="0" borderId="3" xfId="12" applyNumberFormat="1" applyFont="1" applyBorder="1" applyAlignment="1">
      <alignment horizontal="center" vertical="center"/>
    </xf>
    <xf numFmtId="10" fontId="13" fillId="0" borderId="3" xfId="9" applyNumberFormat="1" applyFont="1" applyFill="1" applyBorder="1" applyAlignment="1">
      <alignment horizontal="center" vertical="center"/>
    </xf>
    <xf numFmtId="173" fontId="13" fillId="0" borderId="24" xfId="9" applyNumberFormat="1" applyFont="1" applyFill="1" applyBorder="1" applyAlignment="1">
      <alignment horizontal="center" vertical="center"/>
    </xf>
    <xf numFmtId="10" fontId="12" fillId="0" borderId="23" xfId="12" applyNumberFormat="1" applyFont="1" applyBorder="1" applyAlignment="1">
      <alignment horizontal="left" vertical="center" wrapText="1"/>
    </xf>
    <xf numFmtId="10" fontId="13" fillId="0" borderId="23" xfId="12" applyNumberFormat="1" applyFont="1" applyBorder="1" applyAlignment="1">
      <alignment horizontal="left" vertical="center" wrapText="1"/>
    </xf>
    <xf numFmtId="10" fontId="13" fillId="0" borderId="3" xfId="9" applyNumberFormat="1" applyFont="1" applyBorder="1" applyAlignment="1">
      <alignment horizontal="center" vertical="center"/>
    </xf>
    <xf numFmtId="173" fontId="13" fillId="0" borderId="24" xfId="9" applyNumberFormat="1" applyFont="1" applyBorder="1" applyAlignment="1">
      <alignment horizontal="center" vertical="center"/>
    </xf>
    <xf numFmtId="10" fontId="13" fillId="9" borderId="3" xfId="9" applyNumberFormat="1" applyFont="1" applyFill="1" applyBorder="1" applyAlignment="1">
      <alignment horizontal="center" vertical="center"/>
    </xf>
    <xf numFmtId="10" fontId="33" fillId="0" borderId="3" xfId="9" applyNumberFormat="1" applyFont="1" applyBorder="1" applyAlignment="1">
      <alignment horizontal="center" vertical="center"/>
    </xf>
    <xf numFmtId="10" fontId="26" fillId="0" borderId="3" xfId="9" applyNumberFormat="1" applyFont="1" applyBorder="1" applyAlignment="1">
      <alignment horizontal="center" vertical="center"/>
    </xf>
    <xf numFmtId="4" fontId="12" fillId="0" borderId="28" xfId="12" applyFont="1" applyBorder="1" applyAlignment="1">
      <alignment horizontal="justify" vertical="center" wrapText="1"/>
    </xf>
    <xf numFmtId="4" fontId="12" fillId="0" borderId="1" xfId="12" applyFont="1" applyBorder="1" applyAlignment="1">
      <alignment horizontal="justify" vertical="center" wrapText="1"/>
    </xf>
    <xf numFmtId="10" fontId="27" fillId="0" borderId="1" xfId="9" applyNumberFormat="1" applyFont="1" applyFill="1" applyBorder="1" applyAlignment="1">
      <alignment horizontal="justify" vertical="center" wrapText="1"/>
    </xf>
    <xf numFmtId="10" fontId="12" fillId="0" borderId="29" xfId="9" applyNumberFormat="1" applyFont="1" applyFill="1" applyBorder="1" applyAlignment="1">
      <alignment horizontal="justify" vertical="center" wrapText="1"/>
    </xf>
    <xf numFmtId="0" fontId="13" fillId="0" borderId="32" xfId="13" applyFont="1" applyBorder="1" applyAlignment="1">
      <alignment horizontal="justify" vertical="center" wrapText="1"/>
    </xf>
    <xf numFmtId="0" fontId="13" fillId="0" borderId="0" xfId="13" applyFont="1" applyAlignment="1">
      <alignment horizontal="justify" vertical="center" wrapText="1"/>
    </xf>
    <xf numFmtId="0" fontId="13" fillId="0" borderId="33" xfId="13" applyFont="1" applyBorder="1" applyAlignment="1">
      <alignment horizontal="justify" vertical="center" wrapText="1"/>
    </xf>
    <xf numFmtId="0" fontId="0" fillId="0" borderId="32" xfId="0" applyBorder="1"/>
    <xf numFmtId="0" fontId="0" fillId="0" borderId="33" xfId="0" applyBorder="1"/>
    <xf numFmtId="3" fontId="34" fillId="0" borderId="29" xfId="0" applyNumberFormat="1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0" fillId="0" borderId="28" xfId="0" applyBorder="1"/>
    <xf numFmtId="0" fontId="0" fillId="0" borderId="1" xfId="0" applyBorder="1"/>
    <xf numFmtId="0" fontId="0" fillId="0" borderId="29" xfId="0" applyBorder="1"/>
    <xf numFmtId="0" fontId="26" fillId="0" borderId="10" xfId="3" applyNumberFormat="1" applyFont="1" applyFill="1" applyBorder="1" applyAlignment="1">
      <alignment horizontal="center" vertical="center" wrapText="1"/>
    </xf>
    <xf numFmtId="165" fontId="26" fillId="0" borderId="10" xfId="3" applyFont="1" applyFill="1" applyBorder="1" applyAlignment="1">
      <alignment horizontal="center" vertical="center" wrapText="1"/>
    </xf>
    <xf numFmtId="0" fontId="13" fillId="0" borderId="10" xfId="3" applyNumberFormat="1" applyFont="1" applyFill="1" applyBorder="1" applyAlignment="1">
      <alignment horizontal="center" vertical="center" wrapText="1"/>
    </xf>
    <xf numFmtId="165" fontId="13" fillId="0" borderId="10" xfId="3" applyFont="1" applyBorder="1" applyAlignment="1">
      <alignment horizontal="left" vertical="center" wrapText="1"/>
    </xf>
    <xf numFmtId="2" fontId="13" fillId="0" borderId="3" xfId="0" applyNumberFormat="1" applyFont="1" applyBorder="1" applyAlignment="1">
      <alignment vertical="center" wrapText="1"/>
    </xf>
    <xf numFmtId="174" fontId="13" fillId="0" borderId="3" xfId="0" applyNumberFormat="1" applyFont="1" applyBorder="1" applyAlignment="1">
      <alignment vertical="center" wrapText="1"/>
    </xf>
    <xf numFmtId="165" fontId="26" fillId="0" borderId="3" xfId="3" applyFont="1" applyFill="1" applyBorder="1" applyAlignment="1">
      <alignment horizontal="center" vertical="center"/>
    </xf>
    <xf numFmtId="1" fontId="13" fillId="0" borderId="3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169" fontId="13" fillId="0" borderId="11" xfId="11" applyFont="1" applyFill="1" applyBorder="1" applyAlignment="1">
      <alignment vertical="center"/>
    </xf>
    <xf numFmtId="9" fontId="13" fillId="0" borderId="3" xfId="7" applyFont="1" applyBorder="1" applyAlignment="1">
      <alignment vertical="center" wrapText="1"/>
    </xf>
    <xf numFmtId="165" fontId="13" fillId="0" borderId="3" xfId="3" applyFont="1" applyBorder="1" applyAlignment="1">
      <alignment horizontal="right" vertical="center" wrapText="1"/>
    </xf>
    <xf numFmtId="10" fontId="19" fillId="10" borderId="3" xfId="9" applyNumberFormat="1" applyFont="1" applyFill="1" applyBorder="1" applyAlignment="1" applyProtection="1">
      <alignment horizontal="center"/>
    </xf>
    <xf numFmtId="10" fontId="19" fillId="10" borderId="3" xfId="9" applyNumberFormat="1" applyFont="1" applyFill="1" applyBorder="1" applyAlignment="1" applyProtection="1">
      <alignment horizontal="center"/>
      <protection locked="0"/>
    </xf>
    <xf numFmtId="164" fontId="19" fillId="10" borderId="3" xfId="1" applyFont="1" applyFill="1" applyBorder="1" applyAlignment="1" applyProtection="1">
      <alignment horizontal="center"/>
    </xf>
    <xf numFmtId="10" fontId="19" fillId="6" borderId="3" xfId="9" applyNumberFormat="1" applyFont="1" applyFill="1" applyBorder="1" applyAlignment="1" applyProtection="1">
      <alignment horizontal="center"/>
    </xf>
    <xf numFmtId="165" fontId="13" fillId="0" borderId="6" xfId="3" applyFont="1" applyFill="1" applyBorder="1" applyAlignment="1">
      <alignment horizontal="center" vertical="center" wrapText="1"/>
    </xf>
    <xf numFmtId="0" fontId="27" fillId="6" borderId="23" xfId="0" applyFont="1" applyFill="1" applyBorder="1" applyAlignment="1">
      <alignment horizontal="center" vertical="center" wrapText="1"/>
    </xf>
    <xf numFmtId="0" fontId="27" fillId="6" borderId="24" xfId="0" applyFont="1" applyFill="1" applyBorder="1" applyAlignment="1">
      <alignment horizontal="center" vertical="center" wrapText="1"/>
    </xf>
    <xf numFmtId="0" fontId="27" fillId="3" borderId="23" xfId="0" applyFont="1" applyFill="1" applyBorder="1" applyAlignment="1">
      <alignment horizontal="center" vertical="center" wrapText="1"/>
    </xf>
    <xf numFmtId="0" fontId="26" fillId="5" borderId="23" xfId="3" applyNumberFormat="1" applyFont="1" applyFill="1" applyBorder="1" applyAlignment="1">
      <alignment horizontal="center" vertical="center" wrapText="1"/>
    </xf>
    <xf numFmtId="1" fontId="26" fillId="0" borderId="23" xfId="3" applyNumberFormat="1" applyFont="1" applyFill="1" applyBorder="1" applyAlignment="1">
      <alignment horizontal="center" vertical="center" wrapText="1"/>
    </xf>
    <xf numFmtId="165" fontId="13" fillId="0" borderId="24" xfId="3" applyFont="1" applyFill="1" applyBorder="1" applyAlignment="1">
      <alignment horizontal="center" vertical="center" wrapText="1"/>
    </xf>
    <xf numFmtId="165" fontId="12" fillId="7" borderId="24" xfId="3" applyFont="1" applyFill="1" applyBorder="1" applyAlignment="1">
      <alignment horizontal="center" vertical="center" wrapText="1"/>
    </xf>
    <xf numFmtId="0" fontId="26" fillId="0" borderId="21" xfId="3" applyNumberFormat="1" applyFont="1" applyFill="1" applyBorder="1" applyAlignment="1">
      <alignment horizontal="center" vertical="center" wrapText="1"/>
    </xf>
    <xf numFmtId="0" fontId="26" fillId="0" borderId="22" xfId="3" applyNumberFormat="1" applyFont="1" applyFill="1" applyBorder="1" applyAlignment="1">
      <alignment horizontal="center" vertical="center" wrapText="1"/>
    </xf>
    <xf numFmtId="0" fontId="26" fillId="0" borderId="23" xfId="3" applyNumberFormat="1" applyFont="1" applyFill="1" applyBorder="1" applyAlignment="1">
      <alignment horizontal="center" vertical="center" wrapText="1"/>
    </xf>
    <xf numFmtId="165" fontId="12" fillId="7" borderId="23" xfId="3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vertical="center" wrapText="1"/>
    </xf>
    <xf numFmtId="165" fontId="13" fillId="0" borderId="24" xfId="3" applyFont="1" applyBorder="1" applyAlignment="1">
      <alignment horizontal="left" vertical="center" wrapText="1"/>
    </xf>
    <xf numFmtId="49" fontId="12" fillId="7" borderId="23" xfId="3" applyNumberFormat="1" applyFont="1" applyFill="1" applyBorder="1" applyAlignment="1">
      <alignment horizontal="center" vertical="center" wrapText="1"/>
    </xf>
    <xf numFmtId="1" fontId="26" fillId="0" borderId="24" xfId="3" applyNumberFormat="1" applyFont="1" applyFill="1" applyBorder="1" applyAlignment="1">
      <alignment horizontal="center" vertical="center" wrapText="1"/>
    </xf>
    <xf numFmtId="1" fontId="13" fillId="0" borderId="32" xfId="11" applyNumberFormat="1" applyFont="1" applyFill="1" applyBorder="1" applyAlignment="1">
      <alignment horizontal="right" vertical="center" wrapText="1"/>
    </xf>
    <xf numFmtId="0" fontId="4" fillId="0" borderId="32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27" fillId="5" borderId="23" xfId="3" applyNumberFormat="1" applyFont="1" applyFill="1" applyBorder="1" applyAlignment="1">
      <alignment horizontal="center" vertical="center" wrapText="1"/>
    </xf>
    <xf numFmtId="10" fontId="24" fillId="0" borderId="24" xfId="0" applyNumberFormat="1" applyFont="1" applyBorder="1" applyAlignment="1">
      <alignment horizontal="center" vertical="center" wrapText="1"/>
    </xf>
    <xf numFmtId="1" fontId="12" fillId="5" borderId="21" xfId="0" applyNumberFormat="1" applyFont="1" applyFill="1" applyBorder="1" applyAlignment="1">
      <alignment vertical="center" wrapText="1"/>
    </xf>
    <xf numFmtId="44" fontId="12" fillId="5" borderId="24" xfId="0" applyNumberFormat="1" applyFont="1" applyFill="1" applyBorder="1" applyAlignment="1">
      <alignment vertical="center" wrapText="1"/>
    </xf>
    <xf numFmtId="49" fontId="13" fillId="0" borderId="23" xfId="0" applyNumberFormat="1" applyFont="1" applyBorder="1" applyAlignment="1" applyProtection="1">
      <alignment horizontal="center" wrapText="1"/>
      <protection locked="0"/>
    </xf>
    <xf numFmtId="44" fontId="13" fillId="0" borderId="24" xfId="0" applyNumberFormat="1" applyFont="1" applyBorder="1" applyAlignment="1">
      <alignment horizontal="center" wrapText="1"/>
    </xf>
    <xf numFmtId="0" fontId="19" fillId="0" borderId="23" xfId="0" applyFont="1" applyBorder="1"/>
    <xf numFmtId="0" fontId="19" fillId="0" borderId="24" xfId="0" applyFont="1" applyBorder="1"/>
    <xf numFmtId="0" fontId="19" fillId="0" borderId="34" xfId="0" applyFont="1" applyBorder="1"/>
    <xf numFmtId="0" fontId="19" fillId="0" borderId="35" xfId="0" applyFont="1" applyBorder="1"/>
    <xf numFmtId="171" fontId="13" fillId="0" borderId="24" xfId="7" applyNumberFormat="1" applyFont="1" applyBorder="1" applyAlignment="1">
      <alignment vertical="center"/>
    </xf>
    <xf numFmtId="49" fontId="13" fillId="0" borderId="34" xfId="0" applyNumberFormat="1" applyFont="1" applyBorder="1" applyAlignment="1" applyProtection="1">
      <alignment horizontal="center" wrapText="1"/>
      <protection locked="0"/>
    </xf>
    <xf numFmtId="171" fontId="13" fillId="0" borderId="35" xfId="7" applyNumberFormat="1" applyFont="1" applyBorder="1" applyAlignment="1">
      <alignment vertical="center"/>
    </xf>
    <xf numFmtId="164" fontId="13" fillId="0" borderId="24" xfId="1" applyFont="1" applyBorder="1" applyAlignment="1">
      <alignment vertical="center"/>
    </xf>
    <xf numFmtId="0" fontId="23" fillId="0" borderId="32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164" fontId="13" fillId="0" borderId="3" xfId="1" applyNumberFormat="1" applyFont="1" applyFill="1" applyBorder="1" applyAlignment="1">
      <alignment horizontal="center" vertical="center" wrapText="1"/>
    </xf>
    <xf numFmtId="164" fontId="19" fillId="10" borderId="3" xfId="1" applyNumberFormat="1" applyFont="1" applyFill="1" applyBorder="1" applyAlignment="1" applyProtection="1">
      <alignment horizontal="center"/>
    </xf>
    <xf numFmtId="1" fontId="13" fillId="0" borderId="5" xfId="11" applyNumberFormat="1" applyFont="1" applyFill="1" applyBorder="1" applyAlignment="1">
      <alignment horizontal="center" vertical="center" wrapText="1"/>
    </xf>
    <xf numFmtId="1" fontId="13" fillId="0" borderId="10" xfId="11" applyNumberFormat="1" applyFont="1" applyFill="1" applyBorder="1" applyAlignment="1">
      <alignment horizontal="center" vertical="center" wrapText="1"/>
    </xf>
    <xf numFmtId="1" fontId="13" fillId="0" borderId="6" xfId="11" applyNumberFormat="1" applyFont="1" applyFill="1" applyBorder="1" applyAlignment="1">
      <alignment horizontal="center" vertical="center" wrapText="1"/>
    </xf>
    <xf numFmtId="164" fontId="12" fillId="5" borderId="5" xfId="1" applyFont="1" applyFill="1" applyBorder="1" applyAlignment="1">
      <alignment horizontal="right" vertical="center" wrapText="1"/>
    </xf>
    <xf numFmtId="164" fontId="12" fillId="5" borderId="10" xfId="1" applyFont="1" applyFill="1" applyBorder="1" applyAlignment="1">
      <alignment horizontal="right" vertical="center" wrapText="1"/>
    </xf>
    <xf numFmtId="164" fontId="12" fillId="5" borderId="6" xfId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distributed"/>
    </xf>
    <xf numFmtId="0" fontId="5" fillId="0" borderId="1" xfId="0" applyFont="1" applyBorder="1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0" fontId="5" fillId="0" borderId="18" xfId="0" applyFont="1" applyBorder="1" applyAlignment="1">
      <alignment horizontal="center" vertical="distributed"/>
    </xf>
    <xf numFmtId="0" fontId="6" fillId="0" borderId="1" xfId="0" applyFont="1" applyBorder="1" applyAlignment="1">
      <alignment horizontal="center" vertical="distributed"/>
    </xf>
    <xf numFmtId="0" fontId="5" fillId="0" borderId="0" xfId="0" applyFont="1" applyAlignment="1">
      <alignment horizontal="justify" vertical="distributed"/>
    </xf>
    <xf numFmtId="0" fontId="30" fillId="0" borderId="5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5" fillId="0" borderId="8" xfId="2" applyFont="1" applyBorder="1" applyAlignment="1">
      <alignment horizontal="left" vertical="center" wrapText="1"/>
    </xf>
    <xf numFmtId="0" fontId="15" fillId="0" borderId="11" xfId="2" applyFont="1" applyBorder="1" applyAlignment="1">
      <alignment horizontal="left" vertical="center" wrapText="1"/>
    </xf>
    <xf numFmtId="0" fontId="15" fillId="0" borderId="9" xfId="2" applyFont="1" applyBorder="1" applyAlignment="1">
      <alignment horizontal="left" vertical="center" wrapText="1"/>
    </xf>
    <xf numFmtId="0" fontId="15" fillId="0" borderId="14" xfId="2" applyFont="1" applyBorder="1" applyAlignment="1">
      <alignment horizontal="left" vertical="center" wrapText="1"/>
    </xf>
    <xf numFmtId="0" fontId="15" fillId="0" borderId="15" xfId="2" applyFont="1" applyBorder="1" applyAlignment="1">
      <alignment horizontal="left" vertical="center" wrapText="1"/>
    </xf>
    <xf numFmtId="0" fontId="15" fillId="0" borderId="16" xfId="2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0" fontId="15" fillId="0" borderId="5" xfId="7" applyNumberFormat="1" applyFont="1" applyBorder="1" applyAlignment="1">
      <alignment horizontal="left" vertical="center" wrapText="1"/>
    </xf>
    <xf numFmtId="10" fontId="15" fillId="0" borderId="6" xfId="7" applyNumberFormat="1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1" fontId="9" fillId="0" borderId="7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1" fontId="13" fillId="0" borderId="3" xfId="0" applyNumberFormat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165" fontId="12" fillId="7" borderId="5" xfId="3" applyFont="1" applyFill="1" applyBorder="1" applyAlignment="1">
      <alignment horizontal="center" vertical="center" wrapText="1"/>
    </xf>
    <xf numFmtId="165" fontId="12" fillId="7" borderId="10" xfId="3" applyFont="1" applyFill="1" applyBorder="1" applyAlignment="1">
      <alignment horizontal="center" vertical="center" wrapText="1"/>
    </xf>
    <xf numFmtId="165" fontId="12" fillId="7" borderId="22" xfId="3" applyFont="1" applyFill="1" applyBorder="1" applyAlignment="1">
      <alignment horizontal="center" vertical="center" wrapText="1"/>
    </xf>
    <xf numFmtId="0" fontId="26" fillId="0" borderId="21" xfId="3" applyNumberFormat="1" applyFont="1" applyFill="1" applyBorder="1" applyAlignment="1">
      <alignment horizontal="center" vertical="center" wrapText="1"/>
    </xf>
    <xf numFmtId="0" fontId="26" fillId="0" borderId="10" xfId="3" applyNumberFormat="1" applyFont="1" applyFill="1" applyBorder="1" applyAlignment="1">
      <alignment horizontal="center" vertical="center" wrapText="1"/>
    </xf>
    <xf numFmtId="0" fontId="26" fillId="0" borderId="22" xfId="3" applyNumberFormat="1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center" vertical="center" wrapText="1"/>
    </xf>
    <xf numFmtId="165" fontId="27" fillId="5" borderId="5" xfId="3" applyFont="1" applyFill="1" applyBorder="1" applyAlignment="1">
      <alignment horizontal="center" vertical="center" wrapText="1"/>
    </xf>
    <xf numFmtId="165" fontId="27" fillId="5" borderId="10" xfId="3" applyFont="1" applyFill="1" applyBorder="1" applyAlignment="1">
      <alignment horizontal="center" vertical="center" wrapText="1"/>
    </xf>
    <xf numFmtId="165" fontId="27" fillId="5" borderId="22" xfId="3" applyFont="1" applyFill="1" applyBorder="1" applyAlignment="1">
      <alignment horizontal="center" vertical="center" wrapText="1"/>
    </xf>
    <xf numFmtId="1" fontId="13" fillId="0" borderId="5" xfId="0" applyNumberFormat="1" applyFont="1" applyBorder="1" applyAlignment="1">
      <alignment vertical="center" wrapText="1"/>
    </xf>
    <xf numFmtId="1" fontId="13" fillId="0" borderId="10" xfId="0" applyNumberFormat="1" applyFont="1" applyBorder="1" applyAlignment="1">
      <alignment vertical="center" wrapText="1"/>
    </xf>
    <xf numFmtId="1" fontId="13" fillId="0" borderId="6" xfId="0" applyNumberFormat="1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9" fillId="0" borderId="23" xfId="0" applyFont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9" fillId="0" borderId="23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29" fillId="0" borderId="24" xfId="0" applyFont="1" applyBorder="1" applyAlignment="1">
      <alignment vertical="center"/>
    </xf>
    <xf numFmtId="0" fontId="29" fillId="0" borderId="24" xfId="0" applyFont="1" applyBorder="1" applyAlignment="1">
      <alignment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165" fontId="26" fillId="5" borderId="5" xfId="3" applyFont="1" applyFill="1" applyBorder="1" applyAlignment="1">
      <alignment horizontal="center" vertical="center" wrapText="1"/>
    </xf>
    <xf numFmtId="165" fontId="26" fillId="5" borderId="10" xfId="3" applyFont="1" applyFill="1" applyBorder="1" applyAlignment="1">
      <alignment horizontal="center" vertical="center" wrapText="1"/>
    </xf>
    <xf numFmtId="165" fontId="26" fillId="5" borderId="22" xfId="3" applyFont="1" applyFill="1" applyBorder="1" applyAlignment="1">
      <alignment horizontal="center" vertical="center" wrapText="1"/>
    </xf>
    <xf numFmtId="166" fontId="18" fillId="0" borderId="5" xfId="8" applyNumberFormat="1" applyFont="1" applyBorder="1" applyAlignment="1">
      <alignment horizontal="center"/>
    </xf>
    <xf numFmtId="166" fontId="18" fillId="0" borderId="10" xfId="8" applyNumberFormat="1" applyFont="1" applyBorder="1" applyAlignment="1">
      <alignment horizontal="center"/>
    </xf>
    <xf numFmtId="166" fontId="18" fillId="0" borderId="6" xfId="8" applyNumberFormat="1" applyFont="1" applyBorder="1" applyAlignment="1">
      <alignment horizontal="center"/>
    </xf>
    <xf numFmtId="10" fontId="18" fillId="0" borderId="5" xfId="8" applyNumberFormat="1" applyFont="1" applyBorder="1" applyAlignment="1">
      <alignment horizontal="left"/>
    </xf>
    <xf numFmtId="10" fontId="18" fillId="0" borderId="10" xfId="8" applyNumberFormat="1" applyFont="1" applyBorder="1" applyAlignment="1">
      <alignment horizontal="left"/>
    </xf>
    <xf numFmtId="10" fontId="18" fillId="0" borderId="6" xfId="8" applyNumberFormat="1" applyFont="1" applyBorder="1" applyAlignment="1">
      <alignment horizontal="left"/>
    </xf>
    <xf numFmtId="167" fontId="11" fillId="0" borderId="3" xfId="3" applyNumberFormat="1" applyFont="1" applyFill="1" applyBorder="1" applyAlignment="1" applyProtection="1">
      <alignment horizontal="center" vertical="center"/>
    </xf>
    <xf numFmtId="0" fontId="17" fillId="0" borderId="3" xfId="8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distributed"/>
    </xf>
    <xf numFmtId="0" fontId="10" fillId="0" borderId="0" xfId="0" applyFont="1" applyAlignment="1">
      <alignment horizontal="center" vertical="distributed"/>
    </xf>
    <xf numFmtId="0" fontId="19" fillId="0" borderId="0" xfId="0" applyFont="1" applyBorder="1" applyAlignment="1">
      <alignment horizontal="center" vertical="distributed"/>
    </xf>
    <xf numFmtId="0" fontId="17" fillId="4" borderId="8" xfId="8" applyFont="1" applyFill="1" applyBorder="1" applyAlignment="1">
      <alignment horizontal="right" vertical="center"/>
    </xf>
    <xf numFmtId="0" fontId="17" fillId="4" borderId="11" xfId="8" applyFont="1" applyFill="1" applyBorder="1" applyAlignment="1">
      <alignment horizontal="right" vertical="center"/>
    </xf>
    <xf numFmtId="0" fontId="17" fillId="4" borderId="9" xfId="8" applyFont="1" applyFill="1" applyBorder="1" applyAlignment="1">
      <alignment horizontal="right" vertical="center"/>
    </xf>
    <xf numFmtId="0" fontId="17" fillId="4" borderId="12" xfId="8" applyFont="1" applyFill="1" applyBorder="1" applyAlignment="1">
      <alignment horizontal="right" vertical="center"/>
    </xf>
    <xf numFmtId="0" fontId="17" fillId="4" borderId="0" xfId="8" applyFont="1" applyFill="1" applyAlignment="1">
      <alignment horizontal="right" vertical="center"/>
    </xf>
    <xf numFmtId="0" fontId="17" fillId="4" borderId="13" xfId="8" applyFont="1" applyFill="1" applyBorder="1" applyAlignment="1">
      <alignment horizontal="right" vertical="center"/>
    </xf>
    <xf numFmtId="0" fontId="17" fillId="4" borderId="14" xfId="8" applyFont="1" applyFill="1" applyBorder="1" applyAlignment="1">
      <alignment horizontal="right" vertical="center"/>
    </xf>
    <xf numFmtId="0" fontId="17" fillId="4" borderId="15" xfId="8" applyFont="1" applyFill="1" applyBorder="1" applyAlignment="1">
      <alignment horizontal="right" vertical="center"/>
    </xf>
    <xf numFmtId="0" fontId="17" fillId="4" borderId="16" xfId="8" applyFont="1" applyFill="1" applyBorder="1" applyAlignment="1">
      <alignment horizontal="right" vertical="center"/>
    </xf>
    <xf numFmtId="164" fontId="17" fillId="4" borderId="4" xfId="1" applyFont="1" applyFill="1" applyBorder="1" applyAlignment="1">
      <alignment horizontal="left" vertical="center"/>
    </xf>
    <xf numFmtId="164" fontId="17" fillId="4" borderId="2" xfId="1" applyFont="1" applyFill="1" applyBorder="1" applyAlignment="1">
      <alignment horizontal="left" vertical="center"/>
    </xf>
    <xf numFmtId="164" fontId="17" fillId="4" borderId="7" xfId="1" applyFont="1" applyFill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3" xfId="2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10" fontId="18" fillId="0" borderId="5" xfId="8" applyNumberFormat="1" applyFont="1" applyBorder="1" applyAlignment="1">
      <alignment horizontal="left" wrapText="1"/>
    </xf>
    <xf numFmtId="10" fontId="18" fillId="0" borderId="10" xfId="8" applyNumberFormat="1" applyFont="1" applyBorder="1" applyAlignment="1">
      <alignment horizontal="left" wrapText="1"/>
    </xf>
    <xf numFmtId="10" fontId="18" fillId="0" borderId="6" xfId="8" applyNumberFormat="1" applyFont="1" applyBorder="1" applyAlignment="1">
      <alignment horizontal="left" wrapText="1"/>
    </xf>
    <xf numFmtId="43" fontId="11" fillId="0" borderId="3" xfId="4" applyFont="1" applyFill="1" applyBorder="1" applyAlignment="1" applyProtection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1" fontId="11" fillId="3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 wrapText="1"/>
    </xf>
    <xf numFmtId="10" fontId="15" fillId="0" borderId="3" xfId="7" applyNumberFormat="1" applyFont="1" applyBorder="1" applyAlignment="1">
      <alignment horizontal="center" vertical="center" wrapText="1"/>
    </xf>
    <xf numFmtId="0" fontId="24" fillId="0" borderId="23" xfId="0" applyFont="1" applyBorder="1" applyAlignment="1">
      <alignment horizontal="left" vertical="top" wrapText="1"/>
    </xf>
    <xf numFmtId="0" fontId="24" fillId="0" borderId="3" xfId="0" applyFont="1" applyBorder="1" applyAlignment="1">
      <alignment horizontal="left" vertical="top" wrapText="1"/>
    </xf>
    <xf numFmtId="0" fontId="24" fillId="0" borderId="3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1" fontId="12" fillId="0" borderId="21" xfId="0" applyNumberFormat="1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 vertical="center" wrapText="1"/>
    </xf>
    <xf numFmtId="1" fontId="12" fillId="0" borderId="22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left" vertical="top" wrapText="1"/>
    </xf>
    <xf numFmtId="1" fontId="9" fillId="0" borderId="23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24" xfId="0" applyNumberFormat="1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distributed"/>
    </xf>
    <xf numFmtId="0" fontId="19" fillId="0" borderId="1" xfId="0" applyFont="1" applyBorder="1" applyAlignment="1">
      <alignment horizontal="center" vertical="distributed"/>
    </xf>
    <xf numFmtId="0" fontId="19" fillId="0" borderId="29" xfId="0" applyFont="1" applyBorder="1" applyAlignment="1">
      <alignment horizontal="center" vertical="distributed"/>
    </xf>
    <xf numFmtId="0" fontId="24" fillId="0" borderId="23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 wrapText="1"/>
    </xf>
    <xf numFmtId="0" fontId="24" fillId="0" borderId="3" xfId="2" applyFont="1" applyBorder="1" applyAlignment="1">
      <alignment horizontal="left" vertical="center" wrapText="1"/>
    </xf>
    <xf numFmtId="0" fontId="19" fillId="0" borderId="0" xfId="0" applyFont="1" applyAlignment="1">
      <alignment horizontal="center" vertical="distributed"/>
    </xf>
    <xf numFmtId="0" fontId="19" fillId="0" borderId="33" xfId="0" applyFont="1" applyBorder="1" applyAlignment="1">
      <alignment horizontal="center" vertical="distributed"/>
    </xf>
    <xf numFmtId="0" fontId="34" fillId="0" borderId="28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3" fillId="0" borderId="30" xfId="13" applyFont="1" applyBorder="1" applyAlignment="1">
      <alignment horizontal="justify" vertical="center" wrapText="1"/>
    </xf>
    <xf numFmtId="0" fontId="13" fillId="0" borderId="18" xfId="13" applyFont="1" applyBorder="1" applyAlignment="1">
      <alignment horizontal="justify" vertical="center" wrapText="1"/>
    </xf>
    <xf numFmtId="0" fontId="13" fillId="0" borderId="31" xfId="13" applyFont="1" applyBorder="1" applyAlignment="1">
      <alignment horizontal="justify" vertical="center" wrapText="1"/>
    </xf>
    <xf numFmtId="0" fontId="13" fillId="0" borderId="32" xfId="13" applyFont="1" applyBorder="1" applyAlignment="1">
      <alignment horizontal="justify" vertical="center" wrapText="1"/>
    </xf>
    <xf numFmtId="0" fontId="13" fillId="0" borderId="0" xfId="13" applyFont="1" applyAlignment="1">
      <alignment horizontal="justify" vertical="center" wrapText="1"/>
    </xf>
    <xf numFmtId="0" fontId="13" fillId="0" borderId="33" xfId="13" applyFont="1" applyBorder="1" applyAlignment="1">
      <alignment horizontal="justify" vertical="center" wrapText="1"/>
    </xf>
    <xf numFmtId="4" fontId="12" fillId="0" borderId="23" xfId="12" applyFont="1" applyBorder="1" applyAlignment="1">
      <alignment horizontal="center" vertical="center"/>
    </xf>
    <xf numFmtId="4" fontId="13" fillId="0" borderId="3" xfId="12" applyFont="1" applyBorder="1" applyAlignment="1">
      <alignment horizontal="center" vertical="center"/>
    </xf>
    <xf numFmtId="10" fontId="12" fillId="3" borderId="24" xfId="9" applyNumberFormat="1" applyFont="1" applyFill="1" applyBorder="1" applyAlignment="1">
      <alignment horizontal="center" vertical="center"/>
    </xf>
    <xf numFmtId="0" fontId="31" fillId="0" borderId="19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9" fillId="0" borderId="23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4" fontId="29" fillId="8" borderId="23" xfId="12" applyFont="1" applyFill="1" applyBorder="1" applyAlignment="1">
      <alignment horizontal="center" vertical="center" wrapText="1"/>
    </xf>
    <xf numFmtId="4" fontId="29" fillId="8" borderId="3" xfId="12" applyFont="1" applyFill="1" applyBorder="1" applyAlignment="1">
      <alignment horizontal="center" vertical="center" wrapText="1"/>
    </xf>
    <xf numFmtId="4" fontId="29" fillId="8" borderId="24" xfId="12" applyFont="1" applyFill="1" applyBorder="1" applyAlignment="1">
      <alignment horizontal="center" vertical="center" wrapText="1"/>
    </xf>
    <xf numFmtId="4" fontId="12" fillId="0" borderId="26" xfId="12" applyFont="1" applyBorder="1" applyAlignment="1">
      <alignment horizontal="center" vertical="center"/>
    </xf>
    <xf numFmtId="4" fontId="32" fillId="0" borderId="3" xfId="12" applyFont="1" applyBorder="1" applyAlignment="1">
      <alignment horizontal="center"/>
    </xf>
    <xf numFmtId="4" fontId="32" fillId="0" borderId="24" xfId="12" applyFont="1" applyBorder="1" applyAlignment="1">
      <alignment horizontal="center"/>
    </xf>
    <xf numFmtId="4" fontId="13" fillId="0" borderId="4" xfId="12" applyFont="1" applyBorder="1" applyAlignment="1">
      <alignment horizontal="center" vertical="top"/>
    </xf>
    <xf numFmtId="4" fontId="13" fillId="0" borderId="27" xfId="12" applyFont="1" applyBorder="1" applyAlignment="1">
      <alignment horizontal="center" vertical="top"/>
    </xf>
  </cellXfs>
  <cellStyles count="14">
    <cellStyle name="Moeda" xfId="1" builtinId="4"/>
    <cellStyle name="Normal" xfId="0" builtinId="0"/>
    <cellStyle name="Normal 10" xfId="12"/>
    <cellStyle name="Normal 2" xfId="2"/>
    <cellStyle name="Normal 2 3" xfId="13"/>
    <cellStyle name="Normal 3" xfId="8"/>
    <cellStyle name="Porcentagem" xfId="7" builtinId="5"/>
    <cellStyle name="Porcentagem 2" xfId="9"/>
    <cellStyle name="Separador de milhares" xfId="3" builtinId="3"/>
    <cellStyle name="Separador de milhares 2" xfId="10"/>
    <cellStyle name="Vírgula 2" xfId="4"/>
    <cellStyle name="Vírgula 2 3 15" xfId="11"/>
    <cellStyle name="Vírgula 3" xfId="5"/>
    <cellStyle name="Vírgula 3 2" xfId="6"/>
  </cellStyles>
  <dxfs count="5"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 val="0"/>
        <condense val="0"/>
        <extend val="0"/>
        <color indexed="44"/>
      </font>
    </dxf>
  </dxfs>
  <tableStyles count="0" defaultTableStyle="TableStyleMedium9" defaultPivotStyle="PivotStyleLight16"/>
  <colors>
    <mruColors>
      <color rgb="FF9BCAC9"/>
      <color rgb="FFCCEC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228599</xdr:colOff>
      <xdr:row>0</xdr:row>
      <xdr:rowOff>38100</xdr:rowOff>
    </xdr:from>
    <xdr:to>
      <xdr:col>9</xdr:col>
      <xdr:colOff>428625</xdr:colOff>
      <xdr:row>0</xdr:row>
      <xdr:rowOff>634747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49" y="38100"/>
          <a:ext cx="1104901" cy="59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0</xdr:row>
      <xdr:rowOff>28575</xdr:rowOff>
    </xdr:from>
    <xdr:to>
      <xdr:col>10</xdr:col>
      <xdr:colOff>457200</xdr:colOff>
      <xdr:row>0</xdr:row>
      <xdr:rowOff>485775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A4FA53C4-1154-4072-87C5-FD681205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57875" y="28575"/>
          <a:ext cx="666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247650</xdr:colOff>
      <xdr:row>0</xdr:row>
      <xdr:rowOff>66674</xdr:rowOff>
    </xdr:from>
    <xdr:to>
      <xdr:col>9</xdr:col>
      <xdr:colOff>1152525</xdr:colOff>
      <xdr:row>0</xdr:row>
      <xdr:rowOff>566737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0" y="66674"/>
          <a:ext cx="904875" cy="500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626914</xdr:colOff>
      <xdr:row>0</xdr:row>
      <xdr:rowOff>94383</xdr:rowOff>
    </xdr:from>
    <xdr:to>
      <xdr:col>6</xdr:col>
      <xdr:colOff>874565</xdr:colOff>
      <xdr:row>0</xdr:row>
      <xdr:rowOff>589214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2755" y="94383"/>
          <a:ext cx="905742" cy="494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57150</xdr:rowOff>
    </xdr:from>
    <xdr:to>
      <xdr:col>3</xdr:col>
      <xdr:colOff>676275</xdr:colOff>
      <xdr:row>0</xdr:row>
      <xdr:rowOff>514350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47B577B1-7399-4C2E-A9EA-79B4959B7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0" y="57150"/>
          <a:ext cx="666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20</xdr:col>
      <xdr:colOff>145256</xdr:colOff>
      <xdr:row>23</xdr:row>
      <xdr:rowOff>64293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D549C3C2-9B3A-4393-AAC2-8A197C1EF3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2819" t="44292" r="3282" b="15543"/>
        <a:stretch/>
      </xdr:blipFill>
      <xdr:spPr>
        <a:xfrm>
          <a:off x="609600" y="323850"/>
          <a:ext cx="11727656" cy="34647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o&#227;o%20Paulo%20-%202024/S&#227;o%20Domingos%20do%20Prata/Ponte%20Bairro%20Cutucum/PM%203.0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oaopaulorodrigues_fcjengenharia_onmicrosoft_com/Documents/JP/Projetos/PM%20Dion&#237;sio/PM%20Dion&#237;sio/Defesa%20Civil/2023/Ponte%20Santa%20Cruz/Nova%20pasta/PLANILHA%20PONTE%20SANTA%20CRUZ%2015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INAPI/PLANILHA_MULTIPLA_V3_05/PLANILHA_MULTIPLA_V3_05/PLANILHA%20M&#218;LTIPLA%20V3.0.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iente/Documents/Jo&#227;o%20Paulo%202025/Jo&#227;o%20Monlevade/Projeto%20casa%20unifamiliar/Planilha/PM%203.11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/personal/joaopaulorodrigues_fcjengenharia_onmicrosoft_com/Documents/JP/Projetos/PM%20Dion&#237;sio/PM%20Dion&#237;sio/Asfalto%20Dion&#237;sio/Asfalto%20Rua%20Ger&#244;nimo%20Henrique%20Coura/Documentos/Licita&#231;&#227;o/Planilha%20excel/Refer&#234;ncia%2004-2021.xls?52E2FC64" TargetMode="External"/><Relationship Id="rId1" Type="http://schemas.openxmlformats.org/officeDocument/2006/relationships/externalLinkPath" Target="file:///\\52E2FC64\Refer&#234;ncia%2004-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1"/>
      <sheetName val="OFÍCIO 2"/>
      <sheetName val="Plan1"/>
    </sheetNames>
    <sheetDataSet>
      <sheetData sheetId="0">
        <row r="3">
          <cell r="O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VO"/>
      <sheetName val="MENU"/>
      <sheetName val="DADOS"/>
      <sheetName val="BDI"/>
      <sheetName val="ORÇAMENTO"/>
      <sheetName val="EVENTOS"/>
      <sheetName val="CÁLCULO"/>
      <sheetName val="CRONOPLE"/>
      <sheetName val="CRONO"/>
      <sheetName val="QCI"/>
      <sheetName val="PLE"/>
      <sheetName val="BM"/>
      <sheetName val="RRE"/>
      <sheetName val="OFÍCIO"/>
      <sheetName val="PO-PLE"/>
      <sheetName val="CFF-PLE"/>
      <sheetName val="PO-BM"/>
      <sheetName val="CFF-BM"/>
    </sheetNames>
    <sheetDataSet>
      <sheetData sheetId="0"/>
      <sheetData sheetId="1"/>
      <sheetData sheetId="2">
        <row r="3">
          <cell r="AQ3" t="str">
            <v>%CT</v>
          </cell>
        </row>
        <row r="4">
          <cell r="AQ4" t="str">
            <v>°C</v>
          </cell>
        </row>
        <row r="5">
          <cell r="AQ5" t="str">
            <v>°F</v>
          </cell>
        </row>
        <row r="6">
          <cell r="AQ6" t="str">
            <v>100M</v>
          </cell>
        </row>
        <row r="7">
          <cell r="AQ7" t="str">
            <v>18L</v>
          </cell>
        </row>
        <row r="8">
          <cell r="AQ8" t="str">
            <v>200KG</v>
          </cell>
        </row>
        <row r="9">
          <cell r="AQ9" t="str">
            <v>250G</v>
          </cell>
        </row>
        <row r="10">
          <cell r="AQ10" t="str">
            <v>310ML</v>
          </cell>
        </row>
        <row r="11">
          <cell r="AQ11" t="str">
            <v>50KG</v>
          </cell>
        </row>
        <row r="12">
          <cell r="AQ12" t="str">
            <v>A</v>
          </cell>
        </row>
        <row r="13">
          <cell r="AQ13" t="str">
            <v>ACA/ACC</v>
          </cell>
        </row>
        <row r="14">
          <cell r="AQ14" t="str">
            <v>AH</v>
          </cell>
        </row>
        <row r="15">
          <cell r="AQ15" t="str">
            <v>AH/H/V</v>
          </cell>
        </row>
        <row r="16">
          <cell r="AQ16" t="str">
            <v>AM</v>
          </cell>
        </row>
        <row r="17">
          <cell r="AQ17" t="str">
            <v>AM0/4ML</v>
          </cell>
        </row>
        <row r="18">
          <cell r="AQ18" t="str">
            <v>AM0/5ML</v>
          </cell>
        </row>
        <row r="19">
          <cell r="AQ19" t="str">
            <v>AM1/5ML</v>
          </cell>
        </row>
        <row r="20">
          <cell r="AQ20" t="str">
            <v>AM10ML</v>
          </cell>
        </row>
        <row r="21">
          <cell r="AQ21" t="str">
            <v>AM1ML</v>
          </cell>
        </row>
        <row r="22">
          <cell r="AQ22" t="str">
            <v>AM2/5ML</v>
          </cell>
        </row>
        <row r="23">
          <cell r="AQ23" t="str">
            <v>AM2ML</v>
          </cell>
        </row>
        <row r="24">
          <cell r="AQ24" t="str">
            <v>AM3ML</v>
          </cell>
        </row>
        <row r="25">
          <cell r="AQ25" t="str">
            <v>AM4ML</v>
          </cell>
        </row>
        <row r="26">
          <cell r="AQ26" t="str">
            <v>AM5ML</v>
          </cell>
        </row>
        <row r="27">
          <cell r="AQ27" t="str">
            <v>AM6ML</v>
          </cell>
        </row>
        <row r="28">
          <cell r="AQ28" t="str">
            <v>AM7ML</v>
          </cell>
        </row>
        <row r="29">
          <cell r="AQ29" t="str">
            <v>ANO</v>
          </cell>
        </row>
        <row r="30">
          <cell r="AQ30" t="str">
            <v>ANOS</v>
          </cell>
        </row>
        <row r="31">
          <cell r="AQ31" t="str">
            <v>ARR</v>
          </cell>
        </row>
        <row r="32">
          <cell r="AQ32" t="str">
            <v>AWG</v>
          </cell>
        </row>
        <row r="33">
          <cell r="AQ33" t="str">
            <v>BAR</v>
          </cell>
        </row>
        <row r="34">
          <cell r="AQ34" t="str">
            <v>BAR.</v>
          </cell>
        </row>
        <row r="35">
          <cell r="AQ35" t="str">
            <v>BD</v>
          </cell>
        </row>
        <row r="36">
          <cell r="AQ36" t="str">
            <v>BIS</v>
          </cell>
        </row>
        <row r="37">
          <cell r="AQ37" t="str">
            <v>BIS/GL</v>
          </cell>
        </row>
        <row r="38">
          <cell r="AQ38" t="str">
            <v>BIS1/65G</v>
          </cell>
        </row>
        <row r="39">
          <cell r="AQ39" t="str">
            <v>BIS1/8G</v>
          </cell>
        </row>
        <row r="40">
          <cell r="AQ40" t="str">
            <v>BIS100G</v>
          </cell>
        </row>
        <row r="41">
          <cell r="AQ41" t="str">
            <v>BIS10G</v>
          </cell>
        </row>
        <row r="42">
          <cell r="AQ42" t="str">
            <v>BIS135G</v>
          </cell>
        </row>
        <row r="43">
          <cell r="AQ43" t="str">
            <v>BIS13G</v>
          </cell>
        </row>
        <row r="44">
          <cell r="AQ44" t="str">
            <v>BIS14G</v>
          </cell>
        </row>
        <row r="45">
          <cell r="AQ45" t="str">
            <v>BIS15G</v>
          </cell>
        </row>
        <row r="46">
          <cell r="AQ46" t="str">
            <v>BIS1G</v>
          </cell>
        </row>
        <row r="47">
          <cell r="AQ47" t="str">
            <v>BIS20G</v>
          </cell>
        </row>
        <row r="48">
          <cell r="AQ48" t="str">
            <v>BIS25G</v>
          </cell>
        </row>
        <row r="49">
          <cell r="AQ49" t="str">
            <v>BIS28/8G</v>
          </cell>
        </row>
        <row r="50">
          <cell r="AQ50" t="str">
            <v>BIS28G</v>
          </cell>
        </row>
        <row r="51">
          <cell r="AQ51" t="str">
            <v>BIS2G</v>
          </cell>
        </row>
        <row r="52">
          <cell r="AQ52" t="str">
            <v>BIS3/5G</v>
          </cell>
        </row>
        <row r="53">
          <cell r="AQ53" t="str">
            <v>BIS30G</v>
          </cell>
        </row>
        <row r="54">
          <cell r="AQ54" t="str">
            <v>BIS30ML</v>
          </cell>
        </row>
        <row r="55">
          <cell r="AQ55" t="str">
            <v>BIS40G</v>
          </cell>
        </row>
        <row r="56">
          <cell r="AQ56" t="str">
            <v>BIS43G</v>
          </cell>
        </row>
        <row r="57">
          <cell r="AQ57" t="str">
            <v>BIS45G</v>
          </cell>
        </row>
        <row r="58">
          <cell r="AQ58" t="str">
            <v>BIS47G</v>
          </cell>
        </row>
        <row r="59">
          <cell r="AQ59" t="str">
            <v>BIS4G</v>
          </cell>
        </row>
        <row r="60">
          <cell r="AQ60" t="str">
            <v>BIS50G</v>
          </cell>
        </row>
        <row r="61">
          <cell r="AQ61" t="str">
            <v>BIS55G</v>
          </cell>
        </row>
        <row r="62">
          <cell r="AQ62" t="str">
            <v>BIS56G</v>
          </cell>
        </row>
        <row r="63">
          <cell r="AQ63" t="str">
            <v>BIS5G</v>
          </cell>
        </row>
        <row r="64">
          <cell r="AQ64" t="str">
            <v>BIS60G</v>
          </cell>
        </row>
        <row r="65">
          <cell r="AQ65" t="str">
            <v>BIS6G</v>
          </cell>
        </row>
        <row r="66">
          <cell r="AQ66" t="str">
            <v>BIS7/5G</v>
          </cell>
        </row>
        <row r="67">
          <cell r="AQ67" t="str">
            <v>BIS70G</v>
          </cell>
        </row>
        <row r="68">
          <cell r="AQ68" t="str">
            <v>BIS80G</v>
          </cell>
        </row>
        <row r="69">
          <cell r="AQ69" t="str">
            <v>BIS90G</v>
          </cell>
        </row>
        <row r="70">
          <cell r="AQ70" t="str">
            <v>BIT</v>
          </cell>
        </row>
        <row r="71">
          <cell r="AQ71" t="str">
            <v>BL</v>
          </cell>
        </row>
        <row r="72">
          <cell r="AQ72" t="str">
            <v>BLIS</v>
          </cell>
        </row>
        <row r="73">
          <cell r="AQ73" t="str">
            <v>BLIS21CP</v>
          </cell>
        </row>
        <row r="74">
          <cell r="AQ74" t="str">
            <v>BLIS35CP</v>
          </cell>
        </row>
        <row r="75">
          <cell r="AQ75" t="str">
            <v>BOB</v>
          </cell>
        </row>
        <row r="76">
          <cell r="AQ76" t="str">
            <v>BOL</v>
          </cell>
        </row>
        <row r="77">
          <cell r="AQ77" t="str">
            <v>BOM</v>
          </cell>
        </row>
        <row r="78">
          <cell r="AQ78" t="str">
            <v>BPM</v>
          </cell>
        </row>
        <row r="79">
          <cell r="AQ79" t="str">
            <v>BPS</v>
          </cell>
        </row>
        <row r="80">
          <cell r="AQ80" t="str">
            <v>BR</v>
          </cell>
        </row>
        <row r="81">
          <cell r="AQ81" t="str">
            <v>BRI</v>
          </cell>
        </row>
        <row r="82">
          <cell r="AQ82" t="str">
            <v>BTJ</v>
          </cell>
        </row>
        <row r="83">
          <cell r="AQ83" t="str">
            <v>BTU</v>
          </cell>
        </row>
        <row r="84">
          <cell r="AQ84" t="str">
            <v>BTU/H</v>
          </cell>
        </row>
        <row r="85">
          <cell r="AQ85" t="str">
            <v>BWG</v>
          </cell>
        </row>
        <row r="86">
          <cell r="AQ86" t="str">
            <v>C</v>
          </cell>
        </row>
        <row r="87">
          <cell r="AQ87" t="str">
            <v>CA</v>
          </cell>
        </row>
        <row r="88">
          <cell r="AQ88" t="str">
            <v>CAD</v>
          </cell>
        </row>
        <row r="89">
          <cell r="AQ89" t="str">
            <v>CAL/G</v>
          </cell>
        </row>
        <row r="90">
          <cell r="AQ90" t="str">
            <v>CAPS</v>
          </cell>
        </row>
        <row r="91">
          <cell r="AQ91" t="str">
            <v>CAR</v>
          </cell>
        </row>
        <row r="92">
          <cell r="AQ92" t="str">
            <v>CC</v>
          </cell>
        </row>
        <row r="93">
          <cell r="AQ93" t="str">
            <v>CD</v>
          </cell>
        </row>
        <row r="94">
          <cell r="AQ94" t="str">
            <v>CD/M2</v>
          </cell>
        </row>
        <row r="95">
          <cell r="AQ95" t="str">
            <v>CENTO</v>
          </cell>
        </row>
        <row r="96">
          <cell r="AQ96" t="str">
            <v>CG</v>
          </cell>
        </row>
        <row r="97">
          <cell r="AQ97" t="str">
            <v>CH</v>
          </cell>
        </row>
        <row r="98">
          <cell r="AQ98" t="str">
            <v>CHI</v>
          </cell>
        </row>
        <row r="99">
          <cell r="AQ99" t="str">
            <v>CHP</v>
          </cell>
        </row>
        <row r="100">
          <cell r="AQ100" t="str">
            <v>CHP</v>
          </cell>
        </row>
        <row r="101">
          <cell r="AQ101" t="str">
            <v>CI</v>
          </cell>
        </row>
        <row r="102">
          <cell r="AQ102" t="str">
            <v>CIL</v>
          </cell>
        </row>
        <row r="103">
          <cell r="AQ103" t="str">
            <v>CIN</v>
          </cell>
        </row>
        <row r="104">
          <cell r="AQ104" t="str">
            <v>CJ</v>
          </cell>
        </row>
        <row r="105">
          <cell r="AQ105" t="str">
            <v>CL</v>
          </cell>
        </row>
        <row r="106">
          <cell r="AQ106" t="str">
            <v>CM</v>
          </cell>
        </row>
        <row r="107">
          <cell r="AQ107" t="str">
            <v>CM/POL</v>
          </cell>
        </row>
        <row r="108">
          <cell r="AQ108" t="str">
            <v>CM2</v>
          </cell>
        </row>
        <row r="109">
          <cell r="AQ109" t="str">
            <v>CM2/H</v>
          </cell>
        </row>
        <row r="110">
          <cell r="AQ110" t="str">
            <v>CM2/M</v>
          </cell>
        </row>
        <row r="111">
          <cell r="AQ111" t="str">
            <v>CM3</v>
          </cell>
        </row>
        <row r="112">
          <cell r="AQ112" t="str">
            <v>CM³/H</v>
          </cell>
        </row>
        <row r="113">
          <cell r="AQ113" t="str">
            <v>CM³/MIN</v>
          </cell>
        </row>
        <row r="114">
          <cell r="AQ114" t="str">
            <v>CNT</v>
          </cell>
        </row>
        <row r="115">
          <cell r="AQ115" t="str">
            <v>CO</v>
          </cell>
        </row>
        <row r="116">
          <cell r="AQ116" t="str">
            <v>COL</v>
          </cell>
        </row>
        <row r="117">
          <cell r="AQ117" t="str">
            <v>COMP</v>
          </cell>
        </row>
        <row r="118">
          <cell r="AQ118" t="str">
            <v>COMPR</v>
          </cell>
        </row>
        <row r="119">
          <cell r="AQ119" t="str">
            <v>CÓPIA</v>
          </cell>
        </row>
        <row r="120">
          <cell r="AQ120" t="str">
            <v>COPO</v>
          </cell>
        </row>
        <row r="121">
          <cell r="AQ121" t="str">
            <v>CP</v>
          </cell>
        </row>
        <row r="122">
          <cell r="AQ122" t="str">
            <v>CPL</v>
          </cell>
        </row>
        <row r="123">
          <cell r="AQ123" t="str">
            <v>CPM</v>
          </cell>
        </row>
        <row r="124">
          <cell r="AQ124" t="str">
            <v>CPS</v>
          </cell>
        </row>
        <row r="125">
          <cell r="AQ125" t="str">
            <v>CRT</v>
          </cell>
        </row>
        <row r="126">
          <cell r="AQ126" t="str">
            <v>CS</v>
          </cell>
        </row>
        <row r="127">
          <cell r="AQ127" t="str">
            <v>CST</v>
          </cell>
        </row>
        <row r="128">
          <cell r="AQ128" t="str">
            <v>CT</v>
          </cell>
        </row>
        <row r="129">
          <cell r="AQ129" t="str">
            <v>CTE</v>
          </cell>
        </row>
        <row r="130">
          <cell r="AQ130" t="str">
            <v>CV</v>
          </cell>
        </row>
        <row r="131">
          <cell r="AQ131" t="str">
            <v>CX</v>
          </cell>
        </row>
        <row r="132">
          <cell r="AQ132" t="str">
            <v>CX100UN</v>
          </cell>
        </row>
        <row r="133">
          <cell r="AQ133" t="str">
            <v>CX40UN</v>
          </cell>
        </row>
        <row r="134">
          <cell r="AQ134" t="str">
            <v>D</v>
          </cell>
        </row>
        <row r="135">
          <cell r="AQ135" t="str">
            <v>DAG</v>
          </cell>
        </row>
        <row r="136">
          <cell r="AQ136" t="str">
            <v>DAL</v>
          </cell>
        </row>
        <row r="137">
          <cell r="AQ137" t="str">
            <v>DAM</v>
          </cell>
        </row>
        <row r="138">
          <cell r="AQ138" t="str">
            <v>DAN</v>
          </cell>
        </row>
        <row r="139">
          <cell r="AQ139" t="str">
            <v>DB</v>
          </cell>
        </row>
        <row r="140">
          <cell r="AQ140" t="str">
            <v>DBM</v>
          </cell>
        </row>
        <row r="141">
          <cell r="AQ141" t="str">
            <v>DG</v>
          </cell>
        </row>
        <row r="142">
          <cell r="AQ142" t="str">
            <v>DGT</v>
          </cell>
        </row>
        <row r="143">
          <cell r="AQ143" t="str">
            <v>DIA</v>
          </cell>
        </row>
        <row r="144">
          <cell r="AQ144" t="str">
            <v>DIAS</v>
          </cell>
        </row>
        <row r="145">
          <cell r="AQ145" t="str">
            <v>DISCO</v>
          </cell>
        </row>
        <row r="146">
          <cell r="AQ146" t="str">
            <v>DL</v>
          </cell>
        </row>
        <row r="147">
          <cell r="AQ147" t="str">
            <v>DM</v>
          </cell>
        </row>
        <row r="148">
          <cell r="AQ148" t="str">
            <v>DM2</v>
          </cell>
        </row>
        <row r="149">
          <cell r="AQ149" t="str">
            <v>DM3</v>
          </cell>
        </row>
        <row r="150">
          <cell r="AQ150" t="str">
            <v>DM3</v>
          </cell>
        </row>
        <row r="151">
          <cell r="AQ151" t="str">
            <v>DOSES</v>
          </cell>
        </row>
        <row r="152">
          <cell r="AQ152" t="str">
            <v>DPI</v>
          </cell>
        </row>
        <row r="153">
          <cell r="AQ153" t="str">
            <v>DPT</v>
          </cell>
        </row>
        <row r="154">
          <cell r="AQ154" t="str">
            <v>DRAG</v>
          </cell>
        </row>
        <row r="155">
          <cell r="AQ155" t="str">
            <v>DZ</v>
          </cell>
        </row>
        <row r="156">
          <cell r="AQ156" t="str">
            <v>EMB</v>
          </cell>
        </row>
        <row r="157">
          <cell r="AQ157" t="str">
            <v>EMB/H</v>
          </cell>
        </row>
        <row r="158">
          <cell r="AQ158" t="str">
            <v>EMP</v>
          </cell>
        </row>
        <row r="159">
          <cell r="AQ159" t="str">
            <v>ENV</v>
          </cell>
        </row>
        <row r="160">
          <cell r="AQ160" t="str">
            <v>ENV27/9G</v>
          </cell>
        </row>
        <row r="161">
          <cell r="AQ161" t="str">
            <v>ENV30G</v>
          </cell>
        </row>
        <row r="162">
          <cell r="AQ162" t="str">
            <v>EQP</v>
          </cell>
        </row>
        <row r="163">
          <cell r="AQ163" t="str">
            <v>EST</v>
          </cell>
        </row>
        <row r="164">
          <cell r="AQ164" t="str">
            <v>EV</v>
          </cell>
        </row>
        <row r="165">
          <cell r="AQ165" t="str">
            <v>F</v>
          </cell>
        </row>
        <row r="166">
          <cell r="AQ166" t="str">
            <v>FCK</v>
          </cell>
        </row>
        <row r="167">
          <cell r="AQ167" t="str">
            <v>FD</v>
          </cell>
        </row>
        <row r="168">
          <cell r="AQ168" t="str">
            <v>FL</v>
          </cell>
        </row>
        <row r="169">
          <cell r="AQ169" t="str">
            <v>FLAC</v>
          </cell>
        </row>
        <row r="170">
          <cell r="AQ170" t="str">
            <v>FLS/H</v>
          </cell>
        </row>
        <row r="171">
          <cell r="AQ171" t="str">
            <v>FPM</v>
          </cell>
        </row>
        <row r="172">
          <cell r="AQ172" t="str">
            <v>FPS</v>
          </cell>
        </row>
        <row r="173">
          <cell r="AQ173" t="str">
            <v>FR</v>
          </cell>
        </row>
        <row r="174">
          <cell r="AQ174" t="str">
            <v>FR1000ML</v>
          </cell>
        </row>
        <row r="175">
          <cell r="AQ175" t="str">
            <v>FR100DS</v>
          </cell>
        </row>
        <row r="176">
          <cell r="AQ176" t="str">
            <v>FR100ML</v>
          </cell>
        </row>
        <row r="177">
          <cell r="AQ177" t="str">
            <v>FR105ML</v>
          </cell>
        </row>
        <row r="178">
          <cell r="AQ178" t="str">
            <v>FR10ML</v>
          </cell>
        </row>
        <row r="179">
          <cell r="AQ179" t="str">
            <v>FR110ML</v>
          </cell>
        </row>
        <row r="180">
          <cell r="AQ180" t="str">
            <v>FR1200MG</v>
          </cell>
        </row>
        <row r="181">
          <cell r="AQ181" t="str">
            <v>FR120DS</v>
          </cell>
        </row>
        <row r="182">
          <cell r="AQ182" t="str">
            <v>FR120ML</v>
          </cell>
        </row>
        <row r="183">
          <cell r="AQ183" t="str">
            <v>FR125ML</v>
          </cell>
        </row>
        <row r="184">
          <cell r="AQ184" t="str">
            <v>FR130DS</v>
          </cell>
        </row>
        <row r="185">
          <cell r="AQ185" t="str">
            <v>FR1500MG</v>
          </cell>
        </row>
        <row r="186">
          <cell r="AQ186" t="str">
            <v>FR150DS</v>
          </cell>
        </row>
        <row r="187">
          <cell r="AQ187" t="str">
            <v>FR150ML</v>
          </cell>
        </row>
        <row r="188">
          <cell r="AQ188" t="str">
            <v>FR15ML</v>
          </cell>
        </row>
        <row r="189">
          <cell r="AQ189" t="str">
            <v>FR160ML</v>
          </cell>
        </row>
        <row r="190">
          <cell r="AQ190" t="str">
            <v>FR200DS</v>
          </cell>
        </row>
        <row r="191">
          <cell r="AQ191" t="str">
            <v>FR200ML</v>
          </cell>
        </row>
        <row r="192">
          <cell r="AQ192" t="str">
            <v>FR20ML</v>
          </cell>
        </row>
        <row r="193">
          <cell r="AQ193" t="str">
            <v>FR240ML</v>
          </cell>
        </row>
        <row r="194">
          <cell r="AQ194" t="str">
            <v>FR250ML</v>
          </cell>
        </row>
        <row r="195">
          <cell r="AQ195" t="str">
            <v>FR300DS</v>
          </cell>
        </row>
        <row r="196">
          <cell r="AQ196" t="str">
            <v>FR300ML</v>
          </cell>
        </row>
        <row r="197">
          <cell r="AQ197" t="str">
            <v>FR30DS</v>
          </cell>
        </row>
        <row r="198">
          <cell r="AQ198" t="str">
            <v>FR30G</v>
          </cell>
        </row>
        <row r="199">
          <cell r="AQ199" t="str">
            <v>FR30ML</v>
          </cell>
        </row>
        <row r="200">
          <cell r="AQ200" t="str">
            <v>FR340ML</v>
          </cell>
        </row>
        <row r="201">
          <cell r="AQ201" t="str">
            <v>FR350ML</v>
          </cell>
        </row>
        <row r="202">
          <cell r="AQ202" t="str">
            <v>FR40ML</v>
          </cell>
        </row>
        <row r="203">
          <cell r="AQ203" t="str">
            <v>FR45ML</v>
          </cell>
        </row>
        <row r="204">
          <cell r="AQ204" t="str">
            <v>FR500ML</v>
          </cell>
        </row>
        <row r="205">
          <cell r="AQ205" t="str">
            <v>H</v>
          </cell>
        </row>
        <row r="206">
          <cell r="AQ206" t="str">
            <v>KG</v>
          </cell>
        </row>
        <row r="207">
          <cell r="AQ207" t="str">
            <v>KM</v>
          </cell>
        </row>
        <row r="208">
          <cell r="AQ208" t="str">
            <v>M</v>
          </cell>
        </row>
        <row r="209">
          <cell r="AQ209" t="str">
            <v>M2</v>
          </cell>
        </row>
        <row r="210">
          <cell r="AQ210" t="str">
            <v>M3</v>
          </cell>
        </row>
        <row r="211">
          <cell r="AQ211" t="str">
            <v>M3XKM</v>
          </cell>
        </row>
        <row r="212">
          <cell r="AQ212" t="str">
            <v>MES</v>
          </cell>
        </row>
        <row r="213">
          <cell r="AQ213" t="str">
            <v>MÊS</v>
          </cell>
        </row>
        <row r="214">
          <cell r="AQ214" t="str">
            <v>MESES</v>
          </cell>
        </row>
        <row r="215">
          <cell r="AQ215" t="str">
            <v>OUTRAS</v>
          </cell>
        </row>
        <row r="216">
          <cell r="AQ216" t="str">
            <v>PAR</v>
          </cell>
        </row>
        <row r="217">
          <cell r="AQ217" t="str">
            <v>PC</v>
          </cell>
        </row>
        <row r="218">
          <cell r="AQ218" t="str">
            <v>T</v>
          </cell>
        </row>
        <row r="219">
          <cell r="AQ219" t="str">
            <v>TXKM</v>
          </cell>
        </row>
        <row r="220">
          <cell r="AQ220" t="str">
            <v>UN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utorial"/>
      <sheetName val="Banco"/>
      <sheetName val="Composições"/>
      <sheetName val="Cotações"/>
      <sheetName val="Relatórios"/>
      <sheetName val="Busc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8"/>
  <sheetViews>
    <sheetView tabSelected="1" view="pageBreakPreview" zoomScaleSheetLayoutView="100" workbookViewId="0">
      <selection activeCell="I16" sqref="I16"/>
    </sheetView>
  </sheetViews>
  <sheetFormatPr defaultRowHeight="12.75"/>
  <cols>
    <col min="2" max="2" width="11.140625" bestFit="1" customWidth="1"/>
    <col min="3" max="3" width="9.28515625" bestFit="1" customWidth="1"/>
    <col min="4" max="4" width="53.42578125" style="1" customWidth="1"/>
    <col min="6" max="6" width="10.5703125" bestFit="1" customWidth="1"/>
    <col min="7" max="7" width="12.42578125" customWidth="1"/>
    <col min="8" max="8" width="20.85546875" hidden="1" customWidth="1"/>
    <col min="9" max="9" width="13.5703125" customWidth="1"/>
    <col min="10" max="10" width="14.7109375" customWidth="1"/>
    <col min="12" max="13" width="11.28515625" bestFit="1" customWidth="1"/>
  </cols>
  <sheetData>
    <row r="1" spans="1:13" ht="53.25" customHeight="1">
      <c r="A1" s="188" t="s">
        <v>749</v>
      </c>
      <c r="B1" s="189"/>
      <c r="C1" s="189"/>
      <c r="D1" s="189"/>
      <c r="E1" s="189"/>
      <c r="F1" s="189"/>
      <c r="G1" s="189"/>
      <c r="H1" s="189"/>
      <c r="I1" s="189"/>
      <c r="J1" s="22"/>
    </row>
    <row r="2" spans="1:13" ht="6" customHeight="1">
      <c r="A2" s="188"/>
      <c r="B2" s="189"/>
      <c r="C2" s="189"/>
      <c r="D2" s="189"/>
      <c r="E2" s="189"/>
      <c r="F2" s="189"/>
      <c r="G2" s="189"/>
      <c r="H2" s="189"/>
      <c r="I2" s="189"/>
      <c r="J2" s="190"/>
    </row>
    <row r="3" spans="1:13" ht="13.5" customHeight="1">
      <c r="A3" s="215" t="s">
        <v>0</v>
      </c>
      <c r="B3" s="215"/>
      <c r="C3" s="215"/>
      <c r="D3" s="215"/>
      <c r="E3" s="215"/>
      <c r="F3" s="215"/>
      <c r="G3" s="215"/>
      <c r="H3" s="215"/>
      <c r="I3" s="215"/>
      <c r="J3" s="215"/>
    </row>
    <row r="4" spans="1:13" ht="6" customHeight="1">
      <c r="A4" s="188"/>
      <c r="B4" s="189"/>
      <c r="C4" s="189"/>
      <c r="D4" s="189"/>
      <c r="E4" s="189"/>
      <c r="F4" s="189"/>
      <c r="G4" s="189"/>
      <c r="H4" s="189"/>
      <c r="I4" s="189"/>
      <c r="J4" s="190"/>
    </row>
    <row r="5" spans="1:13">
      <c r="A5" s="216" t="s">
        <v>880</v>
      </c>
      <c r="B5" s="217"/>
      <c r="C5" s="217"/>
      <c r="D5" s="217"/>
      <c r="E5" s="217"/>
      <c r="F5" s="217"/>
      <c r="G5" s="217"/>
      <c r="H5" s="217"/>
      <c r="I5" s="217"/>
      <c r="J5" s="218"/>
    </row>
    <row r="6" spans="1:13" ht="13.5" customHeight="1">
      <c r="A6" s="209" t="s">
        <v>881</v>
      </c>
      <c r="B6" s="210"/>
      <c r="C6" s="210"/>
      <c r="D6" s="210"/>
      <c r="E6" s="210"/>
      <c r="F6" s="211"/>
      <c r="G6" s="201"/>
      <c r="H6" s="202"/>
      <c r="I6" s="202"/>
      <c r="J6" s="203"/>
    </row>
    <row r="7" spans="1:13" ht="15.75" customHeight="1">
      <c r="A7" s="212" t="s">
        <v>742</v>
      </c>
      <c r="B7" s="213"/>
      <c r="C7" s="213"/>
      <c r="D7" s="213"/>
      <c r="E7" s="213"/>
      <c r="F7" s="214"/>
      <c r="G7" s="201" t="s">
        <v>882</v>
      </c>
      <c r="H7" s="202"/>
      <c r="I7" s="202"/>
      <c r="J7" s="203"/>
    </row>
    <row r="8" spans="1:13" ht="12.75" customHeight="1">
      <c r="A8" s="191" t="s">
        <v>875</v>
      </c>
      <c r="B8" s="192"/>
      <c r="C8" s="192"/>
      <c r="D8" s="193"/>
      <c r="E8" s="19" t="s">
        <v>2</v>
      </c>
      <c r="F8" s="20">
        <v>0.05</v>
      </c>
      <c r="G8" s="201" t="s">
        <v>3</v>
      </c>
      <c r="H8" s="202"/>
      <c r="I8" s="202"/>
      <c r="J8" s="203"/>
    </row>
    <row r="9" spans="1:13">
      <c r="A9" s="194"/>
      <c r="B9" s="195"/>
      <c r="C9" s="195"/>
      <c r="D9" s="196"/>
      <c r="E9" s="197" t="s">
        <v>4</v>
      </c>
      <c r="F9" s="199" t="s">
        <v>5</v>
      </c>
      <c r="G9" s="201" t="s">
        <v>6</v>
      </c>
      <c r="H9" s="202"/>
      <c r="I9" s="202"/>
      <c r="J9" s="203"/>
    </row>
    <row r="10" spans="1:13">
      <c r="A10" s="206" t="s">
        <v>743</v>
      </c>
      <c r="B10" s="207"/>
      <c r="C10" s="207"/>
      <c r="D10" s="208"/>
      <c r="E10" s="198"/>
      <c r="F10" s="200"/>
      <c r="G10" s="19" t="s">
        <v>7</v>
      </c>
      <c r="H10" s="21">
        <v>0.27929999999999999</v>
      </c>
      <c r="I10" s="204">
        <f>BDI!D24</f>
        <v>0.247</v>
      </c>
      <c r="J10" s="205"/>
    </row>
    <row r="11" spans="1:13" ht="25.5">
      <c r="A11" s="17" t="s">
        <v>14</v>
      </c>
      <c r="B11" s="17" t="s">
        <v>15</v>
      </c>
      <c r="C11" s="17" t="s">
        <v>16</v>
      </c>
      <c r="D11" s="17" t="s">
        <v>17</v>
      </c>
      <c r="E11" s="18" t="s">
        <v>18</v>
      </c>
      <c r="F11" s="17" t="s">
        <v>19</v>
      </c>
      <c r="G11" s="17" t="str">
        <f>IF(TIPOORCAMENTO="Licitado","","Custo Unitário (sem BDI) (R$)")</f>
        <v>Custo Unitário (sem BDI) (R$)</v>
      </c>
      <c r="H11" s="17" t="str">
        <f>IF(TIPOORCAMENTO="Licitado","","BDI(%)")</f>
        <v>BDI(%)</v>
      </c>
      <c r="I11" s="17" t="s">
        <v>20</v>
      </c>
      <c r="J11" s="17" t="s">
        <v>21</v>
      </c>
    </row>
    <row r="12" spans="1:13">
      <c r="A12" s="6"/>
      <c r="B12" s="6"/>
      <c r="C12" s="6"/>
      <c r="D12" s="8" t="s">
        <v>750</v>
      </c>
      <c r="E12" s="6"/>
      <c r="F12" s="6"/>
      <c r="G12" s="6"/>
      <c r="H12" s="6"/>
      <c r="I12" s="6"/>
      <c r="J12" s="7">
        <f>SUBTOTAL(9,J13:J231)</f>
        <v>216008.5</v>
      </c>
      <c r="L12" s="88"/>
    </row>
    <row r="13" spans="1:13">
      <c r="A13" s="55">
        <v>1</v>
      </c>
      <c r="B13" s="55"/>
      <c r="C13" s="55"/>
      <c r="D13" s="56" t="s">
        <v>23</v>
      </c>
      <c r="E13" s="55"/>
      <c r="F13" s="55"/>
      <c r="G13" s="55"/>
      <c r="H13" s="55"/>
      <c r="I13" s="55"/>
      <c r="J13" s="57">
        <f>SUBTOTAL(9,J14)</f>
        <v>11079.92</v>
      </c>
      <c r="L13" s="88"/>
    </row>
    <row r="14" spans="1:13">
      <c r="A14" s="3" t="s">
        <v>527</v>
      </c>
      <c r="B14" s="3" t="s">
        <v>24</v>
      </c>
      <c r="C14" s="3" t="s">
        <v>329</v>
      </c>
      <c r="D14" s="9" t="s">
        <v>23</v>
      </c>
      <c r="E14" s="3" t="s">
        <v>25</v>
      </c>
      <c r="F14" s="4">
        <f>'Memória de Cálculo'!K15</f>
        <v>4</v>
      </c>
      <c r="G14" s="5">
        <f>Composição!G19</f>
        <v>2769.98</v>
      </c>
      <c r="H14" s="5" t="s">
        <v>26</v>
      </c>
      <c r="I14" s="5">
        <f>G14</f>
        <v>2769.98</v>
      </c>
      <c r="J14" s="5">
        <f>ROUND(I14*F14,2)</f>
        <v>11079.92</v>
      </c>
      <c r="L14" s="88"/>
      <c r="M14" s="88"/>
    </row>
    <row r="15" spans="1:13">
      <c r="A15" s="55">
        <v>2</v>
      </c>
      <c r="B15" s="55"/>
      <c r="C15" s="55"/>
      <c r="D15" s="56" t="s">
        <v>8</v>
      </c>
      <c r="E15" s="55"/>
      <c r="F15" s="55"/>
      <c r="G15" s="55"/>
      <c r="H15" s="55"/>
      <c r="I15" s="55"/>
      <c r="J15" s="57">
        <f>SUBTOTAL(9,J16:J18)</f>
        <v>9312.56</v>
      </c>
    </row>
    <row r="16" spans="1:13" ht="25.5">
      <c r="A16" s="3" t="s">
        <v>528</v>
      </c>
      <c r="B16" s="3" t="s">
        <v>24</v>
      </c>
      <c r="C16" s="3" t="s">
        <v>331</v>
      </c>
      <c r="D16" s="9" t="s">
        <v>74</v>
      </c>
      <c r="E16" s="3" t="s">
        <v>12</v>
      </c>
      <c r="F16" s="85">
        <v>5.0000000000000001E-3</v>
      </c>
      <c r="G16" s="5">
        <f>ROUND(I16/1.247,2)</f>
        <v>66745.23</v>
      </c>
      <c r="H16" s="5" t="s">
        <v>26</v>
      </c>
      <c r="I16" s="5">
        <f>SUM(J13,J17:J18,J19,J73,J224)</f>
        <v>83231.3</v>
      </c>
      <c r="J16" s="5">
        <f>ROUND(I16*F16,2)</f>
        <v>416.16</v>
      </c>
    </row>
    <row r="17" spans="1:10" ht="25.5">
      <c r="A17" s="3" t="s">
        <v>529</v>
      </c>
      <c r="B17" s="3" t="s">
        <v>24</v>
      </c>
      <c r="C17" s="3" t="s">
        <v>741</v>
      </c>
      <c r="D17" s="9" t="s">
        <v>27</v>
      </c>
      <c r="E17" s="3" t="s">
        <v>10</v>
      </c>
      <c r="F17" s="4">
        <f>'Memória de Cálculo'!K23</f>
        <v>4.5</v>
      </c>
      <c r="G17" s="5">
        <f>Composição!G10</f>
        <v>510.4</v>
      </c>
      <c r="H17" s="5" t="s">
        <v>26</v>
      </c>
      <c r="I17" s="5">
        <f>ROUND(G17*(1+$I$10),2)</f>
        <v>636.47</v>
      </c>
      <c r="J17" s="5">
        <f>ROUND(I17*F17,2)</f>
        <v>2864.12</v>
      </c>
    </row>
    <row r="18" spans="1:10" ht="51">
      <c r="A18" s="3" t="s">
        <v>530</v>
      </c>
      <c r="B18" s="3" t="s">
        <v>24</v>
      </c>
      <c r="C18" s="3" t="s">
        <v>330</v>
      </c>
      <c r="D18" s="9" t="s">
        <v>69</v>
      </c>
      <c r="E18" s="3" t="s">
        <v>25</v>
      </c>
      <c r="F18" s="4">
        <f>'Memória de Cálculo'!K26</f>
        <v>4</v>
      </c>
      <c r="G18" s="5">
        <f>Composição!G23</f>
        <v>1209.3599999999999</v>
      </c>
      <c r="H18" s="5" t="s">
        <v>26</v>
      </c>
      <c r="I18" s="5">
        <f t="shared" ref="I18" si="0">ROUND(G18*(1+$I$10),2)</f>
        <v>1508.07</v>
      </c>
      <c r="J18" s="5">
        <f>ROUND(I18*F18,2)</f>
        <v>6032.28</v>
      </c>
    </row>
    <row r="19" spans="1:10">
      <c r="A19" s="55">
        <v>3</v>
      </c>
      <c r="B19" s="55"/>
      <c r="C19" s="55"/>
      <c r="D19" s="56" t="s">
        <v>130</v>
      </c>
      <c r="E19" s="55"/>
      <c r="F19" s="55"/>
      <c r="G19" s="55"/>
      <c r="H19" s="55"/>
      <c r="I19" s="55"/>
      <c r="J19" s="57">
        <f>SUBTOTAL(9,J21:J40)</f>
        <v>30301.56</v>
      </c>
    </row>
    <row r="20" spans="1:10">
      <c r="A20" s="55" t="s">
        <v>531</v>
      </c>
      <c r="B20" s="55"/>
      <c r="C20" s="55"/>
      <c r="D20" s="56" t="s">
        <v>131</v>
      </c>
      <c r="E20" s="55"/>
      <c r="F20" s="55"/>
      <c r="G20" s="55"/>
      <c r="H20" s="55"/>
      <c r="I20" s="55"/>
      <c r="J20" s="57"/>
    </row>
    <row r="21" spans="1:10">
      <c r="A21" s="3" t="s">
        <v>532</v>
      </c>
      <c r="B21" s="3" t="s">
        <v>22</v>
      </c>
      <c r="C21" s="3" t="s">
        <v>132</v>
      </c>
      <c r="D21" s="9" t="s">
        <v>133</v>
      </c>
      <c r="E21" s="3" t="s">
        <v>9</v>
      </c>
      <c r="F21" s="4">
        <f>'Memória de Cálculo'!K34</f>
        <v>13.61</v>
      </c>
      <c r="G21" s="5">
        <v>89.55</v>
      </c>
      <c r="H21" s="5"/>
      <c r="I21" s="5">
        <f>ROUND(G21*(1+$I$10),2)</f>
        <v>111.67</v>
      </c>
      <c r="J21" s="5">
        <f>ROUND(I21*F21,2)</f>
        <v>1519.83</v>
      </c>
    </row>
    <row r="22" spans="1:10" ht="25.5">
      <c r="A22" s="3" t="s">
        <v>533</v>
      </c>
      <c r="B22" s="3" t="s">
        <v>22</v>
      </c>
      <c r="C22" s="3" t="s">
        <v>134</v>
      </c>
      <c r="D22" s="9" t="s">
        <v>128</v>
      </c>
      <c r="E22" s="3" t="s">
        <v>10</v>
      </c>
      <c r="F22" s="4">
        <f>'Memória de Cálculo'!K41</f>
        <v>8.7799999999999994</v>
      </c>
      <c r="G22" s="5">
        <v>6.93</v>
      </c>
      <c r="H22" s="5"/>
      <c r="I22" s="5">
        <f t="shared" ref="I22:I29" si="1">ROUND(G22*(1+$I$10),2)</f>
        <v>8.64</v>
      </c>
      <c r="J22" s="5">
        <f>ROUND(I22*F22,2)</f>
        <v>75.86</v>
      </c>
    </row>
    <row r="23" spans="1:10" ht="25.5">
      <c r="A23" s="3" t="s">
        <v>534</v>
      </c>
      <c r="B23" s="3" t="s">
        <v>22</v>
      </c>
      <c r="C23" s="3" t="s">
        <v>135</v>
      </c>
      <c r="D23" s="9" t="s">
        <v>136</v>
      </c>
      <c r="E23" s="3" t="s">
        <v>10</v>
      </c>
      <c r="F23" s="4">
        <f>'Memória de Cálculo'!K47</f>
        <v>8.7799999999999994</v>
      </c>
      <c r="G23" s="5">
        <v>45.37</v>
      </c>
      <c r="H23" s="5"/>
      <c r="I23" s="5">
        <f t="shared" si="1"/>
        <v>56.58</v>
      </c>
      <c r="J23" s="5">
        <f>ROUND(I23*F23,2)</f>
        <v>496.77</v>
      </c>
    </row>
    <row r="24" spans="1:10" ht="38.25">
      <c r="A24" s="3" t="s">
        <v>535</v>
      </c>
      <c r="B24" s="3" t="s">
        <v>22</v>
      </c>
      <c r="C24" s="3" t="s">
        <v>137</v>
      </c>
      <c r="D24" s="9" t="s">
        <v>138</v>
      </c>
      <c r="E24" s="3" t="s">
        <v>10</v>
      </c>
      <c r="F24" s="4">
        <f>'Memória de Cálculo'!K51</f>
        <v>26.6</v>
      </c>
      <c r="G24" s="5">
        <v>192.43</v>
      </c>
      <c r="H24" s="5"/>
      <c r="I24" s="5">
        <f t="shared" si="1"/>
        <v>239.96</v>
      </c>
      <c r="J24" s="5">
        <f t="shared" ref="J24:J40" si="2">ROUND(I24*F24,2)</f>
        <v>6382.94</v>
      </c>
    </row>
    <row r="25" spans="1:10" ht="25.5">
      <c r="A25" s="3" t="s">
        <v>536</v>
      </c>
      <c r="B25" s="3" t="s">
        <v>22</v>
      </c>
      <c r="C25" s="3" t="s">
        <v>139</v>
      </c>
      <c r="D25" s="9" t="s">
        <v>140</v>
      </c>
      <c r="E25" s="3" t="s">
        <v>72</v>
      </c>
      <c r="F25" s="4">
        <f>'Memória de Cálculo'!K55</f>
        <v>64.849999999999994</v>
      </c>
      <c r="G25" s="5">
        <v>12.64</v>
      </c>
      <c r="H25" s="5"/>
      <c r="I25" s="5">
        <f t="shared" si="1"/>
        <v>15.76</v>
      </c>
      <c r="J25" s="5">
        <f t="shared" si="2"/>
        <v>1022.04</v>
      </c>
    </row>
    <row r="26" spans="1:10" ht="25.5">
      <c r="A26" s="3" t="s">
        <v>537</v>
      </c>
      <c r="B26" s="3" t="s">
        <v>22</v>
      </c>
      <c r="C26" s="3">
        <v>104918</v>
      </c>
      <c r="D26" s="9" t="s">
        <v>352</v>
      </c>
      <c r="E26" s="3" t="s">
        <v>72</v>
      </c>
      <c r="F26" s="4">
        <f>'Memória de Cálculo'!K59</f>
        <v>68.22</v>
      </c>
      <c r="G26" s="5">
        <v>14.29</v>
      </c>
      <c r="H26" s="5"/>
      <c r="I26" s="5">
        <f t="shared" si="1"/>
        <v>17.82</v>
      </c>
      <c r="J26" s="5">
        <f t="shared" si="2"/>
        <v>1215.68</v>
      </c>
    </row>
    <row r="27" spans="1:10" ht="25.5">
      <c r="A27" s="3" t="s">
        <v>538</v>
      </c>
      <c r="B27" s="3" t="s">
        <v>22</v>
      </c>
      <c r="C27" s="3" t="s">
        <v>143</v>
      </c>
      <c r="D27" s="9" t="s">
        <v>144</v>
      </c>
      <c r="E27" s="3" t="s">
        <v>72</v>
      </c>
      <c r="F27" s="4">
        <f>'Memória de Cálculo'!K63</f>
        <v>23.12</v>
      </c>
      <c r="G27" s="5">
        <v>17.170000000000002</v>
      </c>
      <c r="H27" s="5"/>
      <c r="I27" s="5">
        <f t="shared" si="1"/>
        <v>21.41</v>
      </c>
      <c r="J27" s="5">
        <f t="shared" si="2"/>
        <v>495</v>
      </c>
    </row>
    <row r="28" spans="1:10" ht="25.5">
      <c r="A28" s="3" t="s">
        <v>539</v>
      </c>
      <c r="B28" s="3" t="s">
        <v>22</v>
      </c>
      <c r="C28" s="3">
        <v>96556</v>
      </c>
      <c r="D28" s="9" t="s">
        <v>744</v>
      </c>
      <c r="E28" s="3" t="s">
        <v>9</v>
      </c>
      <c r="F28" s="4">
        <f>'Memória de Cálculo'!K67</f>
        <v>3.1</v>
      </c>
      <c r="G28" s="5">
        <v>975.08</v>
      </c>
      <c r="H28" s="5"/>
      <c r="I28" s="5">
        <f t="shared" si="1"/>
        <v>1215.92</v>
      </c>
      <c r="J28" s="5">
        <f t="shared" si="2"/>
        <v>3769.35</v>
      </c>
    </row>
    <row r="29" spans="1:10">
      <c r="A29" s="3" t="s">
        <v>540</v>
      </c>
      <c r="B29" s="3" t="s">
        <v>22</v>
      </c>
      <c r="C29" s="3" t="s">
        <v>145</v>
      </c>
      <c r="D29" s="9" t="s">
        <v>146</v>
      </c>
      <c r="E29" s="3" t="s">
        <v>9</v>
      </c>
      <c r="F29" s="4">
        <f>'Memória de Cálculo'!K71</f>
        <v>10.07</v>
      </c>
      <c r="G29" s="5">
        <v>22.61</v>
      </c>
      <c r="H29" s="5"/>
      <c r="I29" s="5">
        <f t="shared" si="1"/>
        <v>28.19</v>
      </c>
      <c r="J29" s="5">
        <f t="shared" si="2"/>
        <v>283.87</v>
      </c>
    </row>
    <row r="30" spans="1:10">
      <c r="A30" s="55" t="s">
        <v>541</v>
      </c>
      <c r="B30" s="55"/>
      <c r="C30" s="55"/>
      <c r="D30" s="56" t="s">
        <v>147</v>
      </c>
      <c r="E30" s="55"/>
      <c r="F30" s="55"/>
      <c r="G30" s="55"/>
      <c r="H30" s="55"/>
      <c r="I30" s="55"/>
      <c r="J30" s="57"/>
    </row>
    <row r="31" spans="1:10" ht="25.5">
      <c r="A31" s="3" t="s">
        <v>542</v>
      </c>
      <c r="B31" s="3" t="s">
        <v>22</v>
      </c>
      <c r="C31" s="3" t="s">
        <v>148</v>
      </c>
      <c r="D31" s="9" t="s">
        <v>151</v>
      </c>
      <c r="E31" s="3" t="s">
        <v>9</v>
      </c>
      <c r="F31" s="4">
        <f>'Memória de Cálculo'!K79</f>
        <v>13.61</v>
      </c>
      <c r="G31" s="5">
        <v>110.9</v>
      </c>
      <c r="H31" s="5"/>
      <c r="I31" s="5">
        <f t="shared" ref="I31" si="3">ROUND(G31*(1+$I$10),2)</f>
        <v>138.29</v>
      </c>
      <c r="J31" s="5">
        <f t="shared" si="2"/>
        <v>1882.13</v>
      </c>
    </row>
    <row r="32" spans="1:10" ht="25.5">
      <c r="A32" s="3" t="s">
        <v>543</v>
      </c>
      <c r="B32" s="3" t="s">
        <v>22</v>
      </c>
      <c r="C32" s="3" t="s">
        <v>135</v>
      </c>
      <c r="D32" s="9" t="s">
        <v>136</v>
      </c>
      <c r="E32" s="3" t="s">
        <v>10</v>
      </c>
      <c r="F32" s="4">
        <f>'Memória de Cálculo'!K92</f>
        <v>6.25</v>
      </c>
      <c r="G32" s="5">
        <v>45.37</v>
      </c>
      <c r="H32" s="5"/>
      <c r="I32" s="5">
        <f t="shared" ref="I32:I38" si="4">ROUND(G32*(1+$I$10),2)</f>
        <v>56.58</v>
      </c>
      <c r="J32" s="5">
        <f t="shared" si="2"/>
        <v>353.63</v>
      </c>
    </row>
    <row r="33" spans="1:10" ht="25.5">
      <c r="A33" s="3" t="s">
        <v>544</v>
      </c>
      <c r="B33" s="3" t="s">
        <v>22</v>
      </c>
      <c r="C33" s="3" t="s">
        <v>149</v>
      </c>
      <c r="D33" s="9" t="s">
        <v>152</v>
      </c>
      <c r="E33" s="3" t="s">
        <v>10</v>
      </c>
      <c r="F33" s="4">
        <f>'Memória de Cálculo'!K95</f>
        <v>50</v>
      </c>
      <c r="G33" s="5">
        <v>70.58</v>
      </c>
      <c r="H33" s="5"/>
      <c r="I33" s="5">
        <f t="shared" si="4"/>
        <v>88.01</v>
      </c>
      <c r="J33" s="5">
        <f t="shared" si="2"/>
        <v>4400.5</v>
      </c>
    </row>
    <row r="34" spans="1:10" ht="25.5">
      <c r="A34" s="3" t="s">
        <v>545</v>
      </c>
      <c r="B34" s="3" t="s">
        <v>22</v>
      </c>
      <c r="C34" s="3" t="s">
        <v>150</v>
      </c>
      <c r="D34" s="9" t="s">
        <v>153</v>
      </c>
      <c r="E34" s="3" t="s">
        <v>72</v>
      </c>
      <c r="F34" s="4">
        <f>'Memória de Cálculo'!K99</f>
        <v>111.74</v>
      </c>
      <c r="G34" s="5">
        <v>14.29</v>
      </c>
      <c r="H34" s="5"/>
      <c r="I34" s="5">
        <f t="shared" si="4"/>
        <v>17.82</v>
      </c>
      <c r="J34" s="5">
        <f t="shared" si="2"/>
        <v>1991.21</v>
      </c>
    </row>
    <row r="35" spans="1:10" ht="25.5">
      <c r="A35" s="3" t="s">
        <v>546</v>
      </c>
      <c r="B35" s="3" t="s">
        <v>22</v>
      </c>
      <c r="C35" s="3" t="s">
        <v>141</v>
      </c>
      <c r="D35" s="9" t="s">
        <v>142</v>
      </c>
      <c r="E35" s="3" t="s">
        <v>72</v>
      </c>
      <c r="F35" s="4">
        <f>'Memória de Cálculo'!K103</f>
        <v>3.36</v>
      </c>
      <c r="G35" s="5">
        <v>15.64</v>
      </c>
      <c r="H35" s="5"/>
      <c r="I35" s="5">
        <f t="shared" si="4"/>
        <v>19.5</v>
      </c>
      <c r="J35" s="5">
        <f t="shared" si="2"/>
        <v>65.52</v>
      </c>
    </row>
    <row r="36" spans="1:10" ht="25.5">
      <c r="A36" s="3" t="s">
        <v>547</v>
      </c>
      <c r="B36" s="3" t="s">
        <v>22</v>
      </c>
      <c r="C36" s="3" t="s">
        <v>143</v>
      </c>
      <c r="D36" s="9" t="s">
        <v>144</v>
      </c>
      <c r="E36" s="3" t="s">
        <v>72</v>
      </c>
      <c r="F36" s="4">
        <f>'Memória de Cálculo'!K107</f>
        <v>47.05</v>
      </c>
      <c r="G36" s="5">
        <v>17.170000000000002</v>
      </c>
      <c r="H36" s="5"/>
      <c r="I36" s="5">
        <f t="shared" si="4"/>
        <v>21.41</v>
      </c>
      <c r="J36" s="5">
        <f t="shared" si="2"/>
        <v>1007.34</v>
      </c>
    </row>
    <row r="37" spans="1:10" ht="25.5">
      <c r="A37" s="3" t="s">
        <v>548</v>
      </c>
      <c r="B37" s="3" t="s">
        <v>22</v>
      </c>
      <c r="C37" s="3">
        <v>96555</v>
      </c>
      <c r="D37" s="9" t="s">
        <v>745</v>
      </c>
      <c r="E37" s="3" t="s">
        <v>9</v>
      </c>
      <c r="F37" s="4">
        <f>'Memória de Cálculo'!K110</f>
        <v>3</v>
      </c>
      <c r="G37" s="5">
        <v>808.4</v>
      </c>
      <c r="H37" s="5"/>
      <c r="I37" s="5">
        <f t="shared" si="4"/>
        <v>1008.07</v>
      </c>
      <c r="J37" s="5">
        <f t="shared" si="2"/>
        <v>3024.21</v>
      </c>
    </row>
    <row r="38" spans="1:10">
      <c r="A38" s="3" t="s">
        <v>549</v>
      </c>
      <c r="B38" s="3" t="s">
        <v>22</v>
      </c>
      <c r="C38" s="3" t="s">
        <v>145</v>
      </c>
      <c r="D38" s="9" t="s">
        <v>146</v>
      </c>
      <c r="E38" s="3" t="s">
        <v>9</v>
      </c>
      <c r="F38" s="4">
        <f>'Memória de Cálculo'!K114</f>
        <v>10.3</v>
      </c>
      <c r="G38" s="5">
        <v>22.61</v>
      </c>
      <c r="H38" s="5"/>
      <c r="I38" s="5">
        <f t="shared" si="4"/>
        <v>28.19</v>
      </c>
      <c r="J38" s="5">
        <f t="shared" si="2"/>
        <v>290.36</v>
      </c>
    </row>
    <row r="39" spans="1:10">
      <c r="A39" s="55" t="s">
        <v>550</v>
      </c>
      <c r="B39" s="55"/>
      <c r="C39" s="55"/>
      <c r="D39" s="56" t="s">
        <v>156</v>
      </c>
      <c r="E39" s="55"/>
      <c r="F39" s="55"/>
      <c r="G39" s="55"/>
      <c r="H39" s="55"/>
      <c r="I39" s="55"/>
      <c r="J39" s="57"/>
    </row>
    <row r="40" spans="1:10" ht="25.5">
      <c r="A40" s="3" t="s">
        <v>551</v>
      </c>
      <c r="B40" s="3" t="s">
        <v>22</v>
      </c>
      <c r="C40" s="3" t="s">
        <v>154</v>
      </c>
      <c r="D40" s="9" t="s">
        <v>155</v>
      </c>
      <c r="E40" s="3" t="s">
        <v>10</v>
      </c>
      <c r="F40" s="4">
        <f>'Memória de Cálculo'!K129</f>
        <v>39.65</v>
      </c>
      <c r="G40" s="5">
        <v>40.96</v>
      </c>
      <c r="H40" s="5"/>
      <c r="I40" s="5">
        <f t="shared" ref="I40" si="5">ROUND(G40*(1+$I$10),2)</f>
        <v>51.08</v>
      </c>
      <c r="J40" s="5">
        <f t="shared" si="2"/>
        <v>2025.32</v>
      </c>
    </row>
    <row r="41" spans="1:10">
      <c r="A41" s="55">
        <v>4</v>
      </c>
      <c r="B41" s="55"/>
      <c r="C41" s="55"/>
      <c r="D41" s="56" t="s">
        <v>157</v>
      </c>
      <c r="E41" s="55"/>
      <c r="F41" s="55"/>
      <c r="G41" s="55"/>
      <c r="H41" s="55"/>
      <c r="I41" s="55"/>
      <c r="J41" s="57">
        <f>SUBTOTAL(9,J43:J53)</f>
        <v>34056.01</v>
      </c>
    </row>
    <row r="42" spans="1:10">
      <c r="A42" s="55" t="s">
        <v>552</v>
      </c>
      <c r="B42" s="55"/>
      <c r="C42" s="55"/>
      <c r="D42" s="56" t="s">
        <v>158</v>
      </c>
      <c r="E42" s="55"/>
      <c r="F42" s="55"/>
      <c r="G42" s="55"/>
      <c r="H42" s="55"/>
      <c r="I42" s="55"/>
      <c r="J42" s="57"/>
    </row>
    <row r="43" spans="1:10" ht="38.25">
      <c r="A43" s="3" t="s">
        <v>553</v>
      </c>
      <c r="B43" s="3" t="s">
        <v>22</v>
      </c>
      <c r="C43" s="3" t="s">
        <v>159</v>
      </c>
      <c r="D43" s="9" t="s">
        <v>160</v>
      </c>
      <c r="E43" s="3" t="s">
        <v>10</v>
      </c>
      <c r="F43" s="4">
        <f>'Memória de Cálculo'!K135</f>
        <v>30.6</v>
      </c>
      <c r="G43" s="5">
        <v>64.599999999999994</v>
      </c>
      <c r="H43" s="5"/>
      <c r="I43" s="5">
        <f t="shared" ref="I43" si="6">ROUND(G43*(1+$I$10),2)</f>
        <v>80.56</v>
      </c>
      <c r="J43" s="5">
        <f t="shared" ref="J43:J53" si="7">ROUND(I43*F43,2)</f>
        <v>2465.14</v>
      </c>
    </row>
    <row r="44" spans="1:10" ht="25.5">
      <c r="A44" s="3" t="s">
        <v>554</v>
      </c>
      <c r="B44" s="3" t="s">
        <v>22</v>
      </c>
      <c r="C44" s="3" t="s">
        <v>161</v>
      </c>
      <c r="D44" s="9" t="s">
        <v>162</v>
      </c>
      <c r="E44" s="3" t="s">
        <v>10</v>
      </c>
      <c r="F44" s="4">
        <f>'Memória de Cálculo'!K138</f>
        <v>44.6</v>
      </c>
      <c r="G44" s="5">
        <v>74.56</v>
      </c>
      <c r="H44" s="5"/>
      <c r="I44" s="5">
        <f t="shared" ref="I44:I50" si="8">ROUND(G44*(1+$I$10),2)</f>
        <v>92.98</v>
      </c>
      <c r="J44" s="5">
        <f t="shared" si="7"/>
        <v>4146.91</v>
      </c>
    </row>
    <row r="45" spans="1:10" ht="25.5">
      <c r="A45" s="3" t="s">
        <v>555</v>
      </c>
      <c r="B45" s="3" t="s">
        <v>22</v>
      </c>
      <c r="C45" s="3" t="s">
        <v>163</v>
      </c>
      <c r="D45" s="9" t="s">
        <v>164</v>
      </c>
      <c r="E45" s="3" t="s">
        <v>72</v>
      </c>
      <c r="F45" s="4">
        <f>'Memória de Cálculo'!K142</f>
        <v>90.23</v>
      </c>
      <c r="G45" s="5">
        <v>14.24</v>
      </c>
      <c r="H45" s="5"/>
      <c r="I45" s="5">
        <f t="shared" si="8"/>
        <v>17.760000000000002</v>
      </c>
      <c r="J45" s="5">
        <f t="shared" si="7"/>
        <v>1602.48</v>
      </c>
    </row>
    <row r="46" spans="1:10" ht="25.5">
      <c r="A46" s="3" t="s">
        <v>556</v>
      </c>
      <c r="B46" s="3" t="s">
        <v>22</v>
      </c>
      <c r="C46" s="3" t="s">
        <v>165</v>
      </c>
      <c r="D46" s="9" t="s">
        <v>166</v>
      </c>
      <c r="E46" s="3" t="s">
        <v>72</v>
      </c>
      <c r="F46" s="4">
        <f>'Memória de Cálculo'!K146</f>
        <v>9.33</v>
      </c>
      <c r="G46" s="5">
        <v>13.17</v>
      </c>
      <c r="H46" s="5"/>
      <c r="I46" s="5">
        <f t="shared" si="8"/>
        <v>16.420000000000002</v>
      </c>
      <c r="J46" s="5">
        <f t="shared" si="7"/>
        <v>153.19999999999999</v>
      </c>
    </row>
    <row r="47" spans="1:10" ht="25.5">
      <c r="A47" s="3" t="s">
        <v>557</v>
      </c>
      <c r="B47" s="3" t="s">
        <v>22</v>
      </c>
      <c r="C47" s="3" t="s">
        <v>167</v>
      </c>
      <c r="D47" s="9" t="s">
        <v>168</v>
      </c>
      <c r="E47" s="3" t="s">
        <v>72</v>
      </c>
      <c r="F47" s="4">
        <f>'Memória de Cálculo'!K150</f>
        <v>106.26</v>
      </c>
      <c r="G47" s="5">
        <v>12.18</v>
      </c>
      <c r="H47" s="5"/>
      <c r="I47" s="5">
        <f t="shared" si="8"/>
        <v>15.19</v>
      </c>
      <c r="J47" s="5">
        <f t="shared" si="7"/>
        <v>1614.09</v>
      </c>
    </row>
    <row r="48" spans="1:10" ht="25.5">
      <c r="A48" s="3" t="s">
        <v>558</v>
      </c>
      <c r="B48" s="3" t="s">
        <v>22</v>
      </c>
      <c r="C48" s="3" t="s">
        <v>169</v>
      </c>
      <c r="D48" s="9" t="s">
        <v>170</v>
      </c>
      <c r="E48" s="3" t="s">
        <v>72</v>
      </c>
      <c r="F48" s="4">
        <f>'Memória de Cálculo'!K154</f>
        <v>188.52</v>
      </c>
      <c r="G48" s="5">
        <v>10.77</v>
      </c>
      <c r="H48" s="5"/>
      <c r="I48" s="5">
        <f t="shared" si="8"/>
        <v>13.43</v>
      </c>
      <c r="J48" s="5">
        <f t="shared" si="7"/>
        <v>2531.8200000000002</v>
      </c>
    </row>
    <row r="49" spans="1:10" ht="25.5">
      <c r="A49" s="3" t="s">
        <v>559</v>
      </c>
      <c r="B49" s="3" t="s">
        <v>22</v>
      </c>
      <c r="C49" s="3">
        <v>103669</v>
      </c>
      <c r="D49" s="9" t="s">
        <v>871</v>
      </c>
      <c r="E49" s="3" t="s">
        <v>9</v>
      </c>
      <c r="F49" s="4">
        <f>'Memória de Cálculo'!K157</f>
        <v>1.4</v>
      </c>
      <c r="G49" s="5">
        <v>999.62</v>
      </c>
      <c r="H49" s="5"/>
      <c r="I49" s="5">
        <f t="shared" si="8"/>
        <v>1246.53</v>
      </c>
      <c r="J49" s="5">
        <f t="shared" si="7"/>
        <v>1745.14</v>
      </c>
    </row>
    <row r="50" spans="1:10" ht="38.25">
      <c r="A50" s="3" t="s">
        <v>560</v>
      </c>
      <c r="B50" s="3" t="s">
        <v>22</v>
      </c>
      <c r="C50" s="3" t="s">
        <v>872</v>
      </c>
      <c r="D50" s="9" t="s">
        <v>873</v>
      </c>
      <c r="E50" s="3" t="s">
        <v>9</v>
      </c>
      <c r="F50" s="4">
        <f>'Memória de Cálculo'!K162</f>
        <v>10.029999999999999</v>
      </c>
      <c r="G50" s="5">
        <v>685.15</v>
      </c>
      <c r="H50" s="5"/>
      <c r="I50" s="5">
        <f t="shared" si="8"/>
        <v>854.38</v>
      </c>
      <c r="J50" s="5">
        <f t="shared" si="7"/>
        <v>8569.43</v>
      </c>
    </row>
    <row r="51" spans="1:10" ht="38.25">
      <c r="A51" s="3" t="s">
        <v>561</v>
      </c>
      <c r="B51" s="3" t="s">
        <v>22</v>
      </c>
      <c r="C51" s="3">
        <v>103761</v>
      </c>
      <c r="D51" s="9" t="s">
        <v>392</v>
      </c>
      <c r="E51" s="3" t="s">
        <v>10</v>
      </c>
      <c r="F51" s="4">
        <f>'Memória de Cálculo'!K166</f>
        <v>63.78</v>
      </c>
      <c r="G51" s="5">
        <v>89.38</v>
      </c>
      <c r="H51" s="5"/>
      <c r="I51" s="5">
        <f t="shared" ref="I51" si="9">ROUND(G51*(1+$I$10),2)</f>
        <v>111.46</v>
      </c>
      <c r="J51" s="5">
        <f t="shared" si="7"/>
        <v>7108.92</v>
      </c>
    </row>
    <row r="52" spans="1:10" ht="25.5">
      <c r="A52" s="3" t="s">
        <v>562</v>
      </c>
      <c r="B52" s="3" t="s">
        <v>22</v>
      </c>
      <c r="C52" s="3" t="s">
        <v>393</v>
      </c>
      <c r="D52" s="9" t="s">
        <v>394</v>
      </c>
      <c r="E52" s="3" t="s">
        <v>72</v>
      </c>
      <c r="F52" s="4">
        <f>'Memória de Cálculo'!K170</f>
        <v>150.9</v>
      </c>
      <c r="G52" s="5">
        <v>13.62</v>
      </c>
      <c r="H52" s="5"/>
      <c r="I52" s="5">
        <f t="shared" ref="I52:I53" si="10">ROUND(G52*(1+$I$10),2)</f>
        <v>16.98</v>
      </c>
      <c r="J52" s="5">
        <f t="shared" si="7"/>
        <v>2562.2800000000002</v>
      </c>
    </row>
    <row r="53" spans="1:10" ht="25.5">
      <c r="A53" s="3" t="s">
        <v>563</v>
      </c>
      <c r="B53" s="3" t="s">
        <v>22</v>
      </c>
      <c r="C53" s="3" t="s">
        <v>395</v>
      </c>
      <c r="D53" s="9" t="s">
        <v>396</v>
      </c>
      <c r="E53" s="3" t="s">
        <v>72</v>
      </c>
      <c r="F53" s="4">
        <f>'Memória de Cálculo'!K174</f>
        <v>99.4</v>
      </c>
      <c r="G53" s="5">
        <v>12.56</v>
      </c>
      <c r="H53" s="5"/>
      <c r="I53" s="5">
        <f t="shared" si="10"/>
        <v>15.66</v>
      </c>
      <c r="J53" s="5">
        <f t="shared" si="7"/>
        <v>1556.6</v>
      </c>
    </row>
    <row r="54" spans="1:10">
      <c r="A54" s="55">
        <v>5</v>
      </c>
      <c r="B54" s="55"/>
      <c r="C54" s="55"/>
      <c r="D54" s="56" t="s">
        <v>171</v>
      </c>
      <c r="E54" s="55"/>
      <c r="F54" s="55"/>
      <c r="G54" s="55"/>
      <c r="H54" s="55"/>
      <c r="I54" s="55"/>
      <c r="J54" s="57">
        <f>SUBTOTAL(9,J56:J65)</f>
        <v>25500.91</v>
      </c>
    </row>
    <row r="55" spans="1:10">
      <c r="A55" s="55" t="s">
        <v>564</v>
      </c>
      <c r="B55" s="55"/>
      <c r="C55" s="55"/>
      <c r="D55" s="56" t="s">
        <v>172</v>
      </c>
      <c r="E55" s="55"/>
      <c r="F55" s="55"/>
      <c r="G55" s="55"/>
      <c r="H55" s="55"/>
      <c r="I55" s="55"/>
      <c r="J55" s="57"/>
    </row>
    <row r="56" spans="1:10" ht="38.25">
      <c r="A56" s="3" t="s">
        <v>565</v>
      </c>
      <c r="B56" s="3" t="s">
        <v>22</v>
      </c>
      <c r="C56" s="3">
        <v>103356</v>
      </c>
      <c r="D56" s="9" t="s">
        <v>401</v>
      </c>
      <c r="E56" s="3" t="s">
        <v>10</v>
      </c>
      <c r="F56" s="4">
        <f>'Memória de Cálculo'!K186</f>
        <v>50.05</v>
      </c>
      <c r="G56" s="5">
        <v>64.239999999999995</v>
      </c>
      <c r="H56" s="5"/>
      <c r="I56" s="5">
        <f t="shared" ref="I56" si="11">ROUND(G56*(1+$I$10),2)</f>
        <v>80.11</v>
      </c>
      <c r="J56" s="5">
        <f t="shared" ref="J56:J72" si="12">ROUND(I56*F56,2)</f>
        <v>4009.51</v>
      </c>
    </row>
    <row r="57" spans="1:10" ht="38.25">
      <c r="A57" s="3" t="s">
        <v>566</v>
      </c>
      <c r="B57" s="3" t="s">
        <v>22</v>
      </c>
      <c r="C57" s="3">
        <v>103361</v>
      </c>
      <c r="D57" s="9" t="s">
        <v>400</v>
      </c>
      <c r="E57" s="3" t="s">
        <v>10</v>
      </c>
      <c r="F57" s="4">
        <f>'Memória de Cálculo'!K197</f>
        <v>79.599999999999994</v>
      </c>
      <c r="G57" s="5">
        <v>87.2</v>
      </c>
      <c r="H57" s="5"/>
      <c r="I57" s="5">
        <f t="shared" ref="I57" si="13">ROUND(G57*(1+$I$10),2)</f>
        <v>108.74</v>
      </c>
      <c r="J57" s="5">
        <f t="shared" si="12"/>
        <v>8655.7000000000007</v>
      </c>
    </row>
    <row r="58" spans="1:10" ht="25.5">
      <c r="A58" s="3" t="s">
        <v>567</v>
      </c>
      <c r="B58" s="3" t="s">
        <v>22</v>
      </c>
      <c r="C58" s="3" t="s">
        <v>173</v>
      </c>
      <c r="D58" s="9" t="s">
        <v>174</v>
      </c>
      <c r="E58" s="3" t="s">
        <v>11</v>
      </c>
      <c r="F58" s="4">
        <f>'Memória de Cálculo'!K206</f>
        <v>24.34</v>
      </c>
      <c r="G58" s="5">
        <v>59.07</v>
      </c>
      <c r="H58" s="5"/>
      <c r="I58" s="5">
        <f t="shared" ref="I58:I59" si="14">ROUND(G58*(1+$I$10),2)</f>
        <v>73.66</v>
      </c>
      <c r="J58" s="5">
        <f t="shared" si="12"/>
        <v>1792.88</v>
      </c>
    </row>
    <row r="59" spans="1:10" ht="25.5">
      <c r="A59" s="3" t="s">
        <v>568</v>
      </c>
      <c r="B59" s="3" t="s">
        <v>22</v>
      </c>
      <c r="C59" s="3" t="s">
        <v>175</v>
      </c>
      <c r="D59" s="9" t="s">
        <v>176</v>
      </c>
      <c r="E59" s="3" t="s">
        <v>11</v>
      </c>
      <c r="F59" s="4">
        <f>'Memória de Cálculo'!K213</f>
        <v>15.4</v>
      </c>
      <c r="G59" s="5">
        <v>46.03</v>
      </c>
      <c r="H59" s="5"/>
      <c r="I59" s="5">
        <f t="shared" si="14"/>
        <v>57.4</v>
      </c>
      <c r="J59" s="5">
        <f t="shared" si="12"/>
        <v>883.96</v>
      </c>
    </row>
    <row r="60" spans="1:10">
      <c r="A60" s="55" t="s">
        <v>569</v>
      </c>
      <c r="B60" s="55"/>
      <c r="C60" s="55"/>
      <c r="D60" s="56" t="s">
        <v>751</v>
      </c>
      <c r="E60" s="55"/>
      <c r="F60" s="55"/>
      <c r="G60" s="55"/>
      <c r="H60" s="55"/>
      <c r="I60" s="55"/>
      <c r="J60" s="57"/>
    </row>
    <row r="61" spans="1:10" ht="63.75">
      <c r="A61" s="3" t="s">
        <v>570</v>
      </c>
      <c r="B61" s="3" t="s">
        <v>22</v>
      </c>
      <c r="C61" s="3" t="s">
        <v>177</v>
      </c>
      <c r="D61" s="9" t="s">
        <v>178</v>
      </c>
      <c r="E61" s="3" t="s">
        <v>10</v>
      </c>
      <c r="F61" s="4">
        <f>'Memória de Cálculo'!K220</f>
        <v>3.6</v>
      </c>
      <c r="G61" s="5">
        <v>304.10000000000002</v>
      </c>
      <c r="H61" s="5"/>
      <c r="I61" s="5">
        <f t="shared" ref="I61" si="15">ROUND(G61*(1+$I$10),2)</f>
        <v>379.21</v>
      </c>
      <c r="J61" s="5">
        <f t="shared" si="12"/>
        <v>1365.16</v>
      </c>
    </row>
    <row r="62" spans="1:10" ht="51">
      <c r="A62" s="3" t="s">
        <v>571</v>
      </c>
      <c r="B62" s="3" t="s">
        <v>22</v>
      </c>
      <c r="C62" s="3" t="s">
        <v>179</v>
      </c>
      <c r="D62" s="9" t="s">
        <v>180</v>
      </c>
      <c r="E62" s="3" t="s">
        <v>10</v>
      </c>
      <c r="F62" s="4">
        <f>'Memória de Cálculo'!K224</f>
        <v>0.96</v>
      </c>
      <c r="G62" s="5">
        <v>578.9</v>
      </c>
      <c r="H62" s="5"/>
      <c r="I62" s="5">
        <f t="shared" ref="I62" si="16">ROUND(G62*(1+$I$10),2)</f>
        <v>721.89</v>
      </c>
      <c r="J62" s="5">
        <f t="shared" si="12"/>
        <v>693.01</v>
      </c>
    </row>
    <row r="63" spans="1:10">
      <c r="A63" s="55" t="s">
        <v>572</v>
      </c>
      <c r="B63" s="55"/>
      <c r="C63" s="55"/>
      <c r="D63" s="56" t="s">
        <v>181</v>
      </c>
      <c r="E63" s="55" t="s">
        <v>127</v>
      </c>
      <c r="F63" s="55"/>
      <c r="G63" s="55"/>
      <c r="H63" s="55"/>
      <c r="I63" s="55"/>
      <c r="J63" s="57"/>
    </row>
    <row r="64" spans="1:10" ht="51">
      <c r="A64" s="3" t="s">
        <v>573</v>
      </c>
      <c r="B64" s="3" t="s">
        <v>24</v>
      </c>
      <c r="C64" s="3" t="s">
        <v>71</v>
      </c>
      <c r="D64" s="9" t="s">
        <v>408</v>
      </c>
      <c r="E64" s="3" t="s">
        <v>182</v>
      </c>
      <c r="F64" s="4">
        <f>'Memória de Cálculo'!K228</f>
        <v>3</v>
      </c>
      <c r="G64" s="5">
        <f>Composição!G30</f>
        <v>1153.6400000000001</v>
      </c>
      <c r="H64" s="5"/>
      <c r="I64" s="5">
        <f t="shared" ref="I64" si="17">ROUND(G64*(1+$I$10),2)</f>
        <v>1438.59</v>
      </c>
      <c r="J64" s="5">
        <f t="shared" si="12"/>
        <v>4315.7700000000004</v>
      </c>
    </row>
    <row r="65" spans="1:10" ht="51">
      <c r="A65" s="3" t="s">
        <v>574</v>
      </c>
      <c r="B65" s="3" t="s">
        <v>22</v>
      </c>
      <c r="C65" s="3" t="s">
        <v>409</v>
      </c>
      <c r="D65" s="9" t="s">
        <v>410</v>
      </c>
      <c r="E65" s="3" t="s">
        <v>182</v>
      </c>
      <c r="F65" s="4">
        <f>'Memória de Cálculo'!K230</f>
        <v>3</v>
      </c>
      <c r="G65" s="5">
        <v>1011.74</v>
      </c>
      <c r="H65" s="5"/>
      <c r="I65" s="5">
        <f t="shared" ref="I65" si="18">ROUND(G65*(1+$I$10),2)</f>
        <v>1261.6400000000001</v>
      </c>
      <c r="J65" s="5">
        <f t="shared" si="12"/>
        <v>3784.92</v>
      </c>
    </row>
    <row r="66" spans="1:10">
      <c r="A66" s="55">
        <v>6</v>
      </c>
      <c r="B66" s="55"/>
      <c r="C66" s="55"/>
      <c r="D66" s="56" t="s">
        <v>183</v>
      </c>
      <c r="E66" s="55" t="s">
        <v>127</v>
      </c>
      <c r="F66" s="55"/>
      <c r="G66" s="55"/>
      <c r="H66" s="55"/>
      <c r="I66" s="55"/>
      <c r="J66" s="57">
        <f>SUBTOTAL(9,J67:J72)</f>
        <v>31262.98</v>
      </c>
    </row>
    <row r="67" spans="1:10" ht="38.25">
      <c r="A67" s="3" t="s">
        <v>575</v>
      </c>
      <c r="B67" s="3" t="s">
        <v>22</v>
      </c>
      <c r="C67" s="3" t="s">
        <v>184</v>
      </c>
      <c r="D67" s="9" t="s">
        <v>185</v>
      </c>
      <c r="E67" s="3" t="s">
        <v>10</v>
      </c>
      <c r="F67" s="4">
        <f>'Memória de Cálculo'!K236</f>
        <v>95.92</v>
      </c>
      <c r="G67" s="5">
        <v>106.71</v>
      </c>
      <c r="H67" s="5"/>
      <c r="I67" s="5">
        <f t="shared" ref="I67" si="19">ROUND(G67*(1+$I$10),2)</f>
        <v>133.07</v>
      </c>
      <c r="J67" s="5">
        <f t="shared" si="12"/>
        <v>12764.07</v>
      </c>
    </row>
    <row r="68" spans="1:10" ht="25.5">
      <c r="A68" s="3" t="s">
        <v>576</v>
      </c>
      <c r="B68" s="3" t="s">
        <v>22</v>
      </c>
      <c r="C68" s="3" t="s">
        <v>186</v>
      </c>
      <c r="D68" s="9" t="s">
        <v>187</v>
      </c>
      <c r="E68" s="3" t="s">
        <v>10</v>
      </c>
      <c r="F68" s="4">
        <f>'Memória de Cálculo'!K240</f>
        <v>95.92</v>
      </c>
      <c r="G68" s="5">
        <v>88.22</v>
      </c>
      <c r="H68" s="5"/>
      <c r="I68" s="5">
        <f t="shared" ref="I68:I72" si="20">ROUND(G68*(1+$I$10),2)</f>
        <v>110.01</v>
      </c>
      <c r="J68" s="5">
        <f t="shared" si="12"/>
        <v>10552.16</v>
      </c>
    </row>
    <row r="69" spans="1:10">
      <c r="A69" s="3" t="s">
        <v>577</v>
      </c>
      <c r="B69" s="3" t="s">
        <v>22</v>
      </c>
      <c r="C69" s="3" t="s">
        <v>188</v>
      </c>
      <c r="D69" s="9" t="s">
        <v>189</v>
      </c>
      <c r="E69" s="3" t="s">
        <v>10</v>
      </c>
      <c r="F69" s="4">
        <f>'Memória de Cálculo'!K246</f>
        <v>26.1</v>
      </c>
      <c r="G69" s="5">
        <v>11.54</v>
      </c>
      <c r="H69" s="5"/>
      <c r="I69" s="5">
        <f t="shared" si="20"/>
        <v>14.39</v>
      </c>
      <c r="J69" s="5">
        <f t="shared" si="12"/>
        <v>375.58</v>
      </c>
    </row>
    <row r="70" spans="1:10">
      <c r="A70" s="3" t="s">
        <v>578</v>
      </c>
      <c r="B70" s="3" t="s">
        <v>22</v>
      </c>
      <c r="C70" s="3" t="s">
        <v>190</v>
      </c>
      <c r="D70" s="9" t="s">
        <v>191</v>
      </c>
      <c r="E70" s="3" t="s">
        <v>182</v>
      </c>
      <c r="F70" s="4">
        <f>'Memória de Cálculo'!K250</f>
        <v>623.48</v>
      </c>
      <c r="G70" s="5">
        <v>3.24</v>
      </c>
      <c r="H70" s="5"/>
      <c r="I70" s="5">
        <f t="shared" si="20"/>
        <v>4.04</v>
      </c>
      <c r="J70" s="5">
        <f t="shared" si="12"/>
        <v>2518.86</v>
      </c>
    </row>
    <row r="71" spans="1:10" ht="38.25">
      <c r="A71" s="3" t="s">
        <v>579</v>
      </c>
      <c r="B71" s="3" t="s">
        <v>22</v>
      </c>
      <c r="C71" s="3" t="s">
        <v>192</v>
      </c>
      <c r="D71" s="9" t="s">
        <v>193</v>
      </c>
      <c r="E71" s="3" t="s">
        <v>11</v>
      </c>
      <c r="F71" s="4">
        <f>'Memória de Cálculo'!K252</f>
        <v>10.15</v>
      </c>
      <c r="G71" s="5">
        <v>38.33</v>
      </c>
      <c r="H71" s="5"/>
      <c r="I71" s="5">
        <f t="shared" si="20"/>
        <v>47.8</v>
      </c>
      <c r="J71" s="5">
        <f t="shared" si="12"/>
        <v>485.17</v>
      </c>
    </row>
    <row r="72" spans="1:10" ht="38.25">
      <c r="A72" s="3" t="s">
        <v>580</v>
      </c>
      <c r="B72" s="3" t="s">
        <v>22</v>
      </c>
      <c r="C72" s="3" t="s">
        <v>194</v>
      </c>
      <c r="D72" s="9" t="s">
        <v>195</v>
      </c>
      <c r="E72" s="3" t="s">
        <v>182</v>
      </c>
      <c r="F72" s="4">
        <f>'Memória de Cálculo'!K254</f>
        <v>2</v>
      </c>
      <c r="G72" s="5">
        <v>1831.25</v>
      </c>
      <c r="H72" s="5"/>
      <c r="I72" s="5">
        <f t="shared" si="20"/>
        <v>2283.5700000000002</v>
      </c>
      <c r="J72" s="5">
        <f t="shared" si="12"/>
        <v>4567.1400000000003</v>
      </c>
    </row>
    <row r="73" spans="1:10">
      <c r="A73" s="55">
        <v>7</v>
      </c>
      <c r="B73" s="55"/>
      <c r="C73" s="55"/>
      <c r="D73" s="56" t="s">
        <v>196</v>
      </c>
      <c r="E73" s="55"/>
      <c r="F73" s="55"/>
      <c r="G73" s="55"/>
      <c r="H73" s="55"/>
      <c r="I73" s="55"/>
      <c r="J73" s="57">
        <f>SUBTOTAL(9,J75:J98)</f>
        <v>32222.49</v>
      </c>
    </row>
    <row r="74" spans="1:10">
      <c r="A74" s="55" t="s">
        <v>581</v>
      </c>
      <c r="B74" s="55"/>
      <c r="C74" s="55"/>
      <c r="D74" s="56" t="s">
        <v>197</v>
      </c>
      <c r="E74" s="55"/>
      <c r="F74" s="55"/>
      <c r="G74" s="55"/>
      <c r="H74" s="55"/>
      <c r="I74" s="55"/>
      <c r="J74" s="57"/>
    </row>
    <row r="75" spans="1:10" ht="38.25">
      <c r="A75" s="3" t="s">
        <v>582</v>
      </c>
      <c r="B75" s="3" t="s">
        <v>22</v>
      </c>
      <c r="C75" s="3" t="s">
        <v>198</v>
      </c>
      <c r="D75" s="9" t="s">
        <v>199</v>
      </c>
      <c r="E75" s="3" t="s">
        <v>10</v>
      </c>
      <c r="F75" s="4">
        <f>'Memória de Cálculo'!K268</f>
        <v>207.59</v>
      </c>
      <c r="G75" s="5">
        <v>4.93</v>
      </c>
      <c r="H75" s="5"/>
      <c r="I75" s="5">
        <f t="shared" ref="I75" si="21">ROUND(G75*(1+$I$10),2)</f>
        <v>6.15</v>
      </c>
      <c r="J75" s="5">
        <f t="shared" ref="J75:J86" si="22">ROUND(I75*F75,2)</f>
        <v>1276.68</v>
      </c>
    </row>
    <row r="76" spans="1:10" ht="38.25">
      <c r="A76" s="3" t="s">
        <v>583</v>
      </c>
      <c r="B76" s="3" t="s">
        <v>22</v>
      </c>
      <c r="C76" s="3" t="s">
        <v>414</v>
      </c>
      <c r="D76" s="9" t="s">
        <v>415</v>
      </c>
      <c r="E76" s="3" t="s">
        <v>10</v>
      </c>
      <c r="F76" s="4">
        <f>'Memória de Cálculo'!K280</f>
        <v>60.44</v>
      </c>
      <c r="G76" s="5">
        <v>8.3800000000000008</v>
      </c>
      <c r="H76" s="5"/>
      <c r="I76" s="5">
        <f t="shared" ref="I76:I92" si="23">ROUND(G76*(1+$I$10),2)</f>
        <v>10.45</v>
      </c>
      <c r="J76" s="5">
        <f t="shared" si="22"/>
        <v>631.6</v>
      </c>
    </row>
    <row r="77" spans="1:10" ht="38.25">
      <c r="A77" s="3" t="s">
        <v>584</v>
      </c>
      <c r="B77" s="3" t="s">
        <v>22</v>
      </c>
      <c r="C77" s="3" t="s">
        <v>200</v>
      </c>
      <c r="D77" s="9" t="s">
        <v>201</v>
      </c>
      <c r="E77" s="3" t="s">
        <v>10</v>
      </c>
      <c r="F77" s="4">
        <f>'Memória de Cálculo'!K287</f>
        <v>55.37</v>
      </c>
      <c r="G77" s="5">
        <v>32.67</v>
      </c>
      <c r="H77" s="5"/>
      <c r="I77" s="5">
        <f t="shared" si="23"/>
        <v>40.74</v>
      </c>
      <c r="J77" s="5">
        <f t="shared" si="22"/>
        <v>2255.77</v>
      </c>
    </row>
    <row r="78" spans="1:10" ht="38.25">
      <c r="A78" s="3" t="s">
        <v>585</v>
      </c>
      <c r="B78" s="3" t="s">
        <v>22</v>
      </c>
      <c r="C78" s="3" t="s">
        <v>202</v>
      </c>
      <c r="D78" s="9" t="s">
        <v>203</v>
      </c>
      <c r="E78" s="3" t="s">
        <v>10</v>
      </c>
      <c r="F78" s="4">
        <f>'Memória de Cálculo'!K297</f>
        <v>152.22</v>
      </c>
      <c r="G78" s="5">
        <v>29.3</v>
      </c>
      <c r="H78" s="5" t="s">
        <v>26</v>
      </c>
      <c r="I78" s="5">
        <f>ROUND(G78*(1+$I$10),2)</f>
        <v>36.54</v>
      </c>
      <c r="J78" s="5">
        <f t="shared" si="22"/>
        <v>5562.12</v>
      </c>
    </row>
    <row r="79" spans="1:10" ht="38.25">
      <c r="A79" s="3" t="s">
        <v>586</v>
      </c>
      <c r="B79" s="3" t="s">
        <v>418</v>
      </c>
      <c r="C79" s="3" t="s">
        <v>417</v>
      </c>
      <c r="D79" s="9" t="s">
        <v>416</v>
      </c>
      <c r="E79" s="3" t="s">
        <v>10</v>
      </c>
      <c r="F79" s="4">
        <f>'Memória de Cálculo'!K304</f>
        <v>3.56</v>
      </c>
      <c r="G79" s="5">
        <v>74.739999999999995</v>
      </c>
      <c r="H79" s="5" t="s">
        <v>26</v>
      </c>
      <c r="I79" s="5">
        <f>ROUND(G79*(1+$I$10),2)</f>
        <v>93.2</v>
      </c>
      <c r="J79" s="5">
        <f t="shared" si="22"/>
        <v>331.79</v>
      </c>
    </row>
    <row r="80" spans="1:10" ht="25.5">
      <c r="A80" s="3" t="s">
        <v>587</v>
      </c>
      <c r="B80" s="3" t="s">
        <v>22</v>
      </c>
      <c r="C80" s="3" t="s">
        <v>204</v>
      </c>
      <c r="D80" s="9" t="s">
        <v>205</v>
      </c>
      <c r="E80" s="3" t="s">
        <v>10</v>
      </c>
      <c r="F80" s="4">
        <f>'Memória de Cálculo'!K316</f>
        <v>60.44</v>
      </c>
      <c r="G80" s="5">
        <v>35.83</v>
      </c>
      <c r="H80" s="5"/>
      <c r="I80" s="5">
        <f t="shared" si="23"/>
        <v>44.68</v>
      </c>
      <c r="J80" s="5">
        <f t="shared" si="22"/>
        <v>2700.46</v>
      </c>
    </row>
    <row r="81" spans="1:10">
      <c r="A81" s="55" t="s">
        <v>588</v>
      </c>
      <c r="B81" s="55"/>
      <c r="C81" s="55"/>
      <c r="D81" s="56" t="s">
        <v>206</v>
      </c>
      <c r="E81" s="55" t="s">
        <v>127</v>
      </c>
      <c r="F81" s="55"/>
      <c r="G81" s="55"/>
      <c r="H81" s="55"/>
      <c r="I81" s="55"/>
      <c r="J81" s="57"/>
    </row>
    <row r="82" spans="1:10" ht="38.25">
      <c r="A82" s="3" t="s">
        <v>589</v>
      </c>
      <c r="B82" s="3" t="s">
        <v>22</v>
      </c>
      <c r="C82" s="3" t="s">
        <v>433</v>
      </c>
      <c r="D82" s="9" t="s">
        <v>434</v>
      </c>
      <c r="E82" s="3" t="s">
        <v>10</v>
      </c>
      <c r="F82" s="4">
        <f>'Memória de Cálculo'!K324</f>
        <v>55.37</v>
      </c>
      <c r="G82" s="5">
        <v>69.459999999999994</v>
      </c>
      <c r="H82" s="5"/>
      <c r="I82" s="5">
        <f t="shared" si="23"/>
        <v>86.62</v>
      </c>
      <c r="J82" s="5">
        <f t="shared" si="22"/>
        <v>4796.1499999999996</v>
      </c>
    </row>
    <row r="83" spans="1:10">
      <c r="A83" s="55" t="s">
        <v>590</v>
      </c>
      <c r="B83" s="55"/>
      <c r="C83" s="55"/>
      <c r="D83" s="56" t="s">
        <v>207</v>
      </c>
      <c r="E83" s="55" t="s">
        <v>127</v>
      </c>
      <c r="F83" s="55"/>
      <c r="G83" s="55"/>
      <c r="H83" s="55"/>
      <c r="I83" s="55"/>
      <c r="J83" s="57"/>
    </row>
    <row r="84" spans="1:10" ht="38.25">
      <c r="A84" s="3" t="s">
        <v>591</v>
      </c>
      <c r="B84" s="3" t="s">
        <v>22</v>
      </c>
      <c r="C84" s="3" t="s">
        <v>208</v>
      </c>
      <c r="D84" s="9" t="s">
        <v>209</v>
      </c>
      <c r="E84" s="3" t="s">
        <v>10</v>
      </c>
      <c r="F84" s="4">
        <f>'Memória de Cálculo'!K331</f>
        <v>90.16</v>
      </c>
      <c r="G84" s="5">
        <v>8.92</v>
      </c>
      <c r="H84" s="5"/>
      <c r="I84" s="174">
        <f t="shared" si="23"/>
        <v>11.12</v>
      </c>
      <c r="J84" s="5">
        <f t="shared" si="22"/>
        <v>1002.58</v>
      </c>
    </row>
    <row r="85" spans="1:10" ht="43.5" customHeight="1">
      <c r="A85" s="3" t="s">
        <v>592</v>
      </c>
      <c r="B85" s="3" t="s">
        <v>22</v>
      </c>
      <c r="C85" s="3" t="s">
        <v>210</v>
      </c>
      <c r="D85" s="9" t="s">
        <v>211</v>
      </c>
      <c r="E85" s="3" t="s">
        <v>10</v>
      </c>
      <c r="F85" s="4">
        <f>'Memória de Cálculo'!K336</f>
        <v>2.69</v>
      </c>
      <c r="G85" s="5">
        <v>44.49</v>
      </c>
      <c r="H85" s="5"/>
      <c r="I85" s="5">
        <f t="shared" ref="I85" si="24">ROUND(G85*(1+$I$10),2)</f>
        <v>55.48</v>
      </c>
      <c r="J85" s="5">
        <f t="shared" si="22"/>
        <v>149.24</v>
      </c>
    </row>
    <row r="86" spans="1:10" ht="37.5" customHeight="1">
      <c r="A86" s="3" t="s">
        <v>593</v>
      </c>
      <c r="B86" s="3" t="s">
        <v>22</v>
      </c>
      <c r="C86" s="3" t="s">
        <v>212</v>
      </c>
      <c r="D86" s="9" t="s">
        <v>213</v>
      </c>
      <c r="E86" s="3" t="s">
        <v>10</v>
      </c>
      <c r="F86" s="4">
        <f>'Memória de Cálculo'!K342</f>
        <v>87.47</v>
      </c>
      <c r="G86" s="5">
        <v>60.16</v>
      </c>
      <c r="H86" s="5"/>
      <c r="I86" s="5">
        <f t="shared" si="23"/>
        <v>75.02</v>
      </c>
      <c r="J86" s="5">
        <f t="shared" si="22"/>
        <v>6562</v>
      </c>
    </row>
    <row r="87" spans="1:10">
      <c r="A87" s="55" t="s">
        <v>594</v>
      </c>
      <c r="B87" s="55"/>
      <c r="C87" s="55"/>
      <c r="D87" s="56" t="s">
        <v>214</v>
      </c>
      <c r="E87" s="55" t="s">
        <v>127</v>
      </c>
      <c r="F87" s="55"/>
      <c r="G87" s="55"/>
      <c r="H87" s="55"/>
      <c r="I87" s="55"/>
      <c r="J87" s="57"/>
    </row>
    <row r="88" spans="1:10">
      <c r="A88" s="55" t="s">
        <v>595</v>
      </c>
      <c r="B88" s="55"/>
      <c r="C88" s="55"/>
      <c r="D88" s="56" t="s">
        <v>215</v>
      </c>
      <c r="E88" s="55" t="s">
        <v>127</v>
      </c>
      <c r="F88" s="55"/>
      <c r="G88" s="55"/>
      <c r="H88" s="55"/>
      <c r="I88" s="55"/>
      <c r="J88" s="57"/>
    </row>
    <row r="89" spans="1:10" ht="25.5">
      <c r="A89" s="3" t="s">
        <v>596</v>
      </c>
      <c r="B89" s="3" t="s">
        <v>22</v>
      </c>
      <c r="C89" s="3" t="s">
        <v>216</v>
      </c>
      <c r="D89" s="9" t="s">
        <v>217</v>
      </c>
      <c r="E89" s="3" t="s">
        <v>10</v>
      </c>
      <c r="F89" s="4">
        <f>'Memória de Cálculo'!K348</f>
        <v>152.22</v>
      </c>
      <c r="G89" s="5">
        <v>4.74</v>
      </c>
      <c r="H89" s="5"/>
      <c r="I89" s="5">
        <f t="shared" si="23"/>
        <v>5.91</v>
      </c>
      <c r="J89" s="5">
        <f t="shared" ref="J89:J98" si="25">ROUND(I89*F89,2)</f>
        <v>899.62</v>
      </c>
    </row>
    <row r="90" spans="1:10" ht="25.5">
      <c r="A90" s="3" t="s">
        <v>597</v>
      </c>
      <c r="B90" s="3" t="s">
        <v>22</v>
      </c>
      <c r="C90" s="3" t="s">
        <v>218</v>
      </c>
      <c r="D90" s="9" t="s">
        <v>219</v>
      </c>
      <c r="E90" s="3" t="s">
        <v>10</v>
      </c>
      <c r="F90" s="4">
        <f>'Memória de Cálculo'!K352</f>
        <v>60.44</v>
      </c>
      <c r="G90" s="5">
        <v>5.79</v>
      </c>
      <c r="H90" s="5"/>
      <c r="I90" s="5">
        <f t="shared" si="23"/>
        <v>7.22</v>
      </c>
      <c r="J90" s="5">
        <f t="shared" si="25"/>
        <v>436.38</v>
      </c>
    </row>
    <row r="91" spans="1:10" ht="25.5">
      <c r="A91" s="3" t="s">
        <v>598</v>
      </c>
      <c r="B91" s="3" t="s">
        <v>22</v>
      </c>
      <c r="C91" s="3" t="s">
        <v>222</v>
      </c>
      <c r="D91" s="9" t="s">
        <v>223</v>
      </c>
      <c r="E91" s="3" t="s">
        <v>10</v>
      </c>
      <c r="F91" s="4">
        <f>'Memória de Cálculo'!K356</f>
        <v>152.22</v>
      </c>
      <c r="G91" s="5">
        <v>11.17</v>
      </c>
      <c r="H91" s="5"/>
      <c r="I91" s="5">
        <f t="shared" si="23"/>
        <v>13.93</v>
      </c>
      <c r="J91" s="5">
        <f t="shared" si="25"/>
        <v>2120.42</v>
      </c>
    </row>
    <row r="92" spans="1:10" ht="25.5">
      <c r="A92" s="3" t="s">
        <v>599</v>
      </c>
      <c r="B92" s="3" t="s">
        <v>22</v>
      </c>
      <c r="C92" s="3" t="s">
        <v>220</v>
      </c>
      <c r="D92" s="9" t="s">
        <v>221</v>
      </c>
      <c r="E92" s="3" t="s">
        <v>10</v>
      </c>
      <c r="F92" s="4">
        <f>'Memória de Cálculo'!K360</f>
        <v>60.44</v>
      </c>
      <c r="G92" s="5">
        <v>12.47</v>
      </c>
      <c r="H92" s="5"/>
      <c r="I92" s="5">
        <f t="shared" si="23"/>
        <v>15.55</v>
      </c>
      <c r="J92" s="5">
        <f t="shared" si="25"/>
        <v>939.84</v>
      </c>
    </row>
    <row r="93" spans="1:10">
      <c r="A93" s="55" t="s">
        <v>600</v>
      </c>
      <c r="B93" s="55"/>
      <c r="C93" s="55"/>
      <c r="D93" s="56" t="s">
        <v>224</v>
      </c>
      <c r="E93" s="55" t="s">
        <v>127</v>
      </c>
      <c r="F93" s="55"/>
      <c r="G93" s="55"/>
      <c r="H93" s="55"/>
      <c r="I93" s="55"/>
      <c r="J93" s="57"/>
    </row>
    <row r="94" spans="1:10" ht="25.5">
      <c r="A94" s="3" t="s">
        <v>601</v>
      </c>
      <c r="B94" s="3" t="s">
        <v>22</v>
      </c>
      <c r="C94" s="3" t="s">
        <v>225</v>
      </c>
      <c r="D94" s="9" t="s">
        <v>226</v>
      </c>
      <c r="E94" s="3" t="s">
        <v>10</v>
      </c>
      <c r="F94" s="4">
        <f>'Memória de Cálculo'!K365</f>
        <v>87.47</v>
      </c>
      <c r="G94" s="5">
        <v>5.71</v>
      </c>
      <c r="H94" s="5"/>
      <c r="I94" s="5">
        <f t="shared" ref="I94:I95" si="26">ROUND(G94*(1+$I$10),2)</f>
        <v>7.12</v>
      </c>
      <c r="J94" s="5">
        <f t="shared" si="25"/>
        <v>622.79</v>
      </c>
    </row>
    <row r="95" spans="1:10" ht="25.5">
      <c r="A95" s="3" t="s">
        <v>602</v>
      </c>
      <c r="B95" s="3" t="s">
        <v>22</v>
      </c>
      <c r="C95" s="3" t="s">
        <v>222</v>
      </c>
      <c r="D95" s="9" t="s">
        <v>223</v>
      </c>
      <c r="E95" s="3" t="s">
        <v>10</v>
      </c>
      <c r="F95" s="4">
        <f>'Memória de Cálculo'!K368</f>
        <v>87.47</v>
      </c>
      <c r="G95" s="5">
        <v>11.17</v>
      </c>
      <c r="H95" s="5"/>
      <c r="I95" s="5">
        <f t="shared" si="26"/>
        <v>13.93</v>
      </c>
      <c r="J95" s="5">
        <f t="shared" si="25"/>
        <v>1218.46</v>
      </c>
    </row>
    <row r="96" spans="1:10">
      <c r="A96" s="55" t="s">
        <v>603</v>
      </c>
      <c r="B96" s="55"/>
      <c r="C96" s="55"/>
      <c r="D96" s="56" t="s">
        <v>227</v>
      </c>
      <c r="E96" s="55" t="s">
        <v>127</v>
      </c>
      <c r="F96" s="55"/>
      <c r="G96" s="55"/>
      <c r="H96" s="55"/>
      <c r="I96" s="55"/>
      <c r="J96" s="57"/>
    </row>
    <row r="97" spans="1:10" ht="25.5">
      <c r="A97" s="3" t="s">
        <v>604</v>
      </c>
      <c r="B97" s="3" t="s">
        <v>22</v>
      </c>
      <c r="C97" s="3" t="s">
        <v>228</v>
      </c>
      <c r="D97" s="9" t="s">
        <v>229</v>
      </c>
      <c r="E97" s="3" t="s">
        <v>10</v>
      </c>
      <c r="F97" s="4">
        <f>'Memória de Cálculo'!K376</f>
        <v>31.54</v>
      </c>
      <c r="G97" s="5">
        <v>2.2799999999999998</v>
      </c>
      <c r="H97" s="5"/>
      <c r="I97" s="5">
        <f t="shared" ref="I97:I98" si="27">ROUND(G97*(1+$I$10),2)</f>
        <v>2.84</v>
      </c>
      <c r="J97" s="5">
        <f t="shared" si="25"/>
        <v>89.57</v>
      </c>
    </row>
    <row r="98" spans="1:10" ht="38.25">
      <c r="A98" s="3" t="s">
        <v>605</v>
      </c>
      <c r="B98" s="3" t="s">
        <v>418</v>
      </c>
      <c r="C98" s="3" t="s">
        <v>230</v>
      </c>
      <c r="D98" s="9" t="s">
        <v>231</v>
      </c>
      <c r="E98" s="3" t="s">
        <v>10</v>
      </c>
      <c r="F98" s="4">
        <f>'Memória de Cálculo'!K378</f>
        <v>31.54</v>
      </c>
      <c r="G98" s="5">
        <v>15.94</v>
      </c>
      <c r="H98" s="5"/>
      <c r="I98" s="5">
        <f t="shared" si="27"/>
        <v>19.88</v>
      </c>
      <c r="J98" s="5">
        <f t="shared" si="25"/>
        <v>627.02</v>
      </c>
    </row>
    <row r="99" spans="1:10">
      <c r="A99" s="55">
        <v>8</v>
      </c>
      <c r="B99" s="55"/>
      <c r="C99" s="55"/>
      <c r="D99" s="56" t="s">
        <v>246</v>
      </c>
      <c r="E99" s="55" t="s">
        <v>127</v>
      </c>
      <c r="F99" s="55"/>
      <c r="G99" s="55"/>
      <c r="H99" s="55"/>
      <c r="I99" s="55"/>
      <c r="J99" s="57">
        <f>SUBTOTAL(9,J101:J116)</f>
        <v>14716.58</v>
      </c>
    </row>
    <row r="100" spans="1:10">
      <c r="A100" s="55" t="s">
        <v>606</v>
      </c>
      <c r="B100" s="55"/>
      <c r="C100" s="55"/>
      <c r="D100" s="56" t="s">
        <v>247</v>
      </c>
      <c r="E100" s="55" t="s">
        <v>127</v>
      </c>
      <c r="F100" s="55"/>
      <c r="G100" s="55"/>
      <c r="H100" s="55"/>
      <c r="I100" s="55"/>
      <c r="J100" s="57"/>
    </row>
    <row r="101" spans="1:10" ht="38.25">
      <c r="A101" s="3" t="s">
        <v>607</v>
      </c>
      <c r="B101" s="3" t="s">
        <v>22</v>
      </c>
      <c r="C101" s="3" t="s">
        <v>248</v>
      </c>
      <c r="D101" s="9" t="s">
        <v>249</v>
      </c>
      <c r="E101" s="3" t="s">
        <v>10</v>
      </c>
      <c r="F101" s="4">
        <f>'Memória de Cálculo'!K392</f>
        <v>63.61</v>
      </c>
      <c r="G101" s="5">
        <v>0.75</v>
      </c>
      <c r="H101" s="5"/>
      <c r="I101" s="5">
        <f t="shared" ref="I101:I102" si="28">ROUND(G101*(1+$I$10),2)</f>
        <v>0.94</v>
      </c>
      <c r="J101" s="5">
        <f t="shared" ref="J101:J116" si="29">ROUND(I101*F101,2)</f>
        <v>59.79</v>
      </c>
    </row>
    <row r="102" spans="1:10" ht="25.5">
      <c r="A102" s="3" t="s">
        <v>608</v>
      </c>
      <c r="B102" s="3" t="s">
        <v>22</v>
      </c>
      <c r="C102" s="3" t="s">
        <v>250</v>
      </c>
      <c r="D102" s="9" t="s">
        <v>444</v>
      </c>
      <c r="E102" s="3" t="s">
        <v>9</v>
      </c>
      <c r="F102" s="4">
        <f>'Memória de Cálculo'!K404</f>
        <v>3.18</v>
      </c>
      <c r="G102" s="5">
        <v>206.61</v>
      </c>
      <c r="H102" s="5"/>
      <c r="I102" s="5">
        <f t="shared" si="28"/>
        <v>257.64</v>
      </c>
      <c r="J102" s="5">
        <f t="shared" si="29"/>
        <v>819.3</v>
      </c>
    </row>
    <row r="103" spans="1:10" ht="25.5">
      <c r="A103" s="3" t="s">
        <v>609</v>
      </c>
      <c r="B103" s="3" t="s">
        <v>22</v>
      </c>
      <c r="C103" s="3" t="s">
        <v>251</v>
      </c>
      <c r="D103" s="9" t="s">
        <v>252</v>
      </c>
      <c r="E103" s="3" t="s">
        <v>10</v>
      </c>
      <c r="F103" s="4">
        <f>'Memória de Cálculo'!K407</f>
        <v>63.61</v>
      </c>
      <c r="G103" s="5">
        <v>3.07</v>
      </c>
      <c r="H103" s="5"/>
      <c r="I103" s="5">
        <f t="shared" ref="I103:I109" si="30">ROUND(G103*(1+$I$10),2)</f>
        <v>3.83</v>
      </c>
      <c r="J103" s="5">
        <f t="shared" si="29"/>
        <v>243.63</v>
      </c>
    </row>
    <row r="104" spans="1:10" ht="25.5">
      <c r="A104" s="3" t="s">
        <v>610</v>
      </c>
      <c r="B104" s="3" t="s">
        <v>22</v>
      </c>
      <c r="C104" s="3" t="s">
        <v>253</v>
      </c>
      <c r="D104" s="9" t="s">
        <v>254</v>
      </c>
      <c r="E104" s="3" t="s">
        <v>10</v>
      </c>
      <c r="F104" s="4">
        <f>'Memória de Cálculo'!K419</f>
        <v>3.18</v>
      </c>
      <c r="G104" s="5">
        <v>42.03</v>
      </c>
      <c r="H104" s="5"/>
      <c r="I104" s="5">
        <f t="shared" si="30"/>
        <v>52.41</v>
      </c>
      <c r="J104" s="5">
        <f t="shared" si="29"/>
        <v>166.66</v>
      </c>
    </row>
    <row r="105" spans="1:10" ht="43.5" customHeight="1">
      <c r="A105" s="3" t="s">
        <v>611</v>
      </c>
      <c r="B105" s="3" t="s">
        <v>22</v>
      </c>
      <c r="C105" s="3" t="s">
        <v>255</v>
      </c>
      <c r="D105" s="9" t="s">
        <v>256</v>
      </c>
      <c r="E105" s="3" t="s">
        <v>10</v>
      </c>
      <c r="F105" s="4">
        <f>'Memória de Cálculo'!K425</f>
        <v>20.12</v>
      </c>
      <c r="G105" s="5">
        <v>57.8</v>
      </c>
      <c r="H105" s="5"/>
      <c r="I105" s="5">
        <f t="shared" si="30"/>
        <v>72.08</v>
      </c>
      <c r="J105" s="5">
        <f t="shared" si="29"/>
        <v>1450.25</v>
      </c>
    </row>
    <row r="106" spans="1:10" ht="38.25">
      <c r="A106" s="3" t="s">
        <v>612</v>
      </c>
      <c r="B106" s="3" t="s">
        <v>22</v>
      </c>
      <c r="C106" s="3" t="s">
        <v>257</v>
      </c>
      <c r="D106" s="9" t="s">
        <v>258</v>
      </c>
      <c r="E106" s="3" t="s">
        <v>10</v>
      </c>
      <c r="F106" s="4">
        <f>'Memória de Cálculo'!K434</f>
        <v>43.49</v>
      </c>
      <c r="G106" s="5">
        <v>44.39</v>
      </c>
      <c r="H106" s="5"/>
      <c r="I106" s="5">
        <f t="shared" si="30"/>
        <v>55.35</v>
      </c>
      <c r="J106" s="5">
        <f t="shared" si="29"/>
        <v>2407.17</v>
      </c>
    </row>
    <row r="107" spans="1:10" ht="38.25">
      <c r="A107" s="3" t="s">
        <v>613</v>
      </c>
      <c r="B107" s="3" t="s">
        <v>22</v>
      </c>
      <c r="C107" s="3" t="s">
        <v>259</v>
      </c>
      <c r="D107" s="9" t="s">
        <v>260</v>
      </c>
      <c r="E107" s="3" t="s">
        <v>10</v>
      </c>
      <c r="F107" s="4">
        <f>'Memória de Cálculo'!K441</f>
        <v>29.79</v>
      </c>
      <c r="G107" s="5">
        <v>62.18</v>
      </c>
      <c r="H107" s="5"/>
      <c r="I107" s="5">
        <f t="shared" si="30"/>
        <v>77.540000000000006</v>
      </c>
      <c r="J107" s="5">
        <f t="shared" si="29"/>
        <v>2309.92</v>
      </c>
    </row>
    <row r="108" spans="1:10" ht="38.25">
      <c r="A108" s="3" t="s">
        <v>614</v>
      </c>
      <c r="B108" s="3" t="s">
        <v>22</v>
      </c>
      <c r="C108" s="3" t="s">
        <v>261</v>
      </c>
      <c r="D108" s="9" t="s">
        <v>262</v>
      </c>
      <c r="E108" s="3" t="s">
        <v>10</v>
      </c>
      <c r="F108" s="4">
        <f>'Memória de Cálculo'!K446</f>
        <v>23.85</v>
      </c>
      <c r="G108" s="5">
        <v>53.6</v>
      </c>
      <c r="H108" s="5"/>
      <c r="I108" s="5">
        <f t="shared" si="30"/>
        <v>66.84</v>
      </c>
      <c r="J108" s="5">
        <f t="shared" si="29"/>
        <v>1594.13</v>
      </c>
    </row>
    <row r="109" spans="1:10" ht="38.25">
      <c r="A109" s="3" t="s">
        <v>615</v>
      </c>
      <c r="B109" s="3" t="s">
        <v>22</v>
      </c>
      <c r="C109" s="3" t="s">
        <v>263</v>
      </c>
      <c r="D109" s="9" t="s">
        <v>264</v>
      </c>
      <c r="E109" s="3" t="s">
        <v>10</v>
      </c>
      <c r="F109" s="4">
        <f>'Memória de Cálculo'!K452</f>
        <v>9.9700000000000006</v>
      </c>
      <c r="G109" s="5">
        <v>70.28</v>
      </c>
      <c r="H109" s="5"/>
      <c r="I109" s="5">
        <f t="shared" si="30"/>
        <v>87.64</v>
      </c>
      <c r="J109" s="5">
        <f t="shared" si="29"/>
        <v>873.77</v>
      </c>
    </row>
    <row r="110" spans="1:10">
      <c r="A110" s="55" t="s">
        <v>616</v>
      </c>
      <c r="B110" s="55"/>
      <c r="C110" s="55"/>
      <c r="D110" s="56" t="s">
        <v>265</v>
      </c>
      <c r="E110" s="55" t="s">
        <v>127</v>
      </c>
      <c r="F110" s="55"/>
      <c r="G110" s="55"/>
      <c r="H110" s="55"/>
      <c r="I110" s="55"/>
      <c r="J110" s="57"/>
    </row>
    <row r="111" spans="1:10" ht="38.25">
      <c r="A111" s="3" t="s">
        <v>617</v>
      </c>
      <c r="B111" s="3" t="s">
        <v>22</v>
      </c>
      <c r="C111" s="3" t="s">
        <v>248</v>
      </c>
      <c r="D111" s="9" t="s">
        <v>249</v>
      </c>
      <c r="E111" s="3" t="s">
        <v>10</v>
      </c>
      <c r="F111" s="4">
        <f>'Memória de Cálculo'!K459</f>
        <v>19.66</v>
      </c>
      <c r="G111" s="5">
        <v>0.75</v>
      </c>
      <c r="H111" s="5"/>
      <c r="I111" s="5">
        <f t="shared" ref="I111:I112" si="31">ROUND(G111*(1+$I$10),2)</f>
        <v>0.94</v>
      </c>
      <c r="J111" s="5">
        <f t="shared" si="29"/>
        <v>18.48</v>
      </c>
    </row>
    <row r="112" spans="1:10" ht="38.25">
      <c r="A112" s="3" t="s">
        <v>618</v>
      </c>
      <c r="B112" s="3" t="s">
        <v>22</v>
      </c>
      <c r="C112" s="3" t="s">
        <v>266</v>
      </c>
      <c r="D112" s="9" t="s">
        <v>267</v>
      </c>
      <c r="E112" s="3" t="s">
        <v>9</v>
      </c>
      <c r="F112" s="4">
        <f>'Memória de Cálculo'!K463</f>
        <v>1.38</v>
      </c>
      <c r="G112" s="5">
        <v>864.1</v>
      </c>
      <c r="H112" s="5"/>
      <c r="I112" s="5">
        <f t="shared" si="31"/>
        <v>1077.53</v>
      </c>
      <c r="J112" s="5">
        <f t="shared" si="29"/>
        <v>1486.99</v>
      </c>
    </row>
    <row r="113" spans="1:10">
      <c r="A113" s="55" t="s">
        <v>619</v>
      </c>
      <c r="B113" s="55"/>
      <c r="C113" s="55"/>
      <c r="D113" s="56" t="s">
        <v>268</v>
      </c>
      <c r="E113" s="55" t="s">
        <v>127</v>
      </c>
      <c r="F113" s="55"/>
      <c r="G113" s="55"/>
      <c r="H113" s="55"/>
      <c r="I113" s="55"/>
      <c r="J113" s="57"/>
    </row>
    <row r="114" spans="1:10">
      <c r="A114" s="3" t="s">
        <v>620</v>
      </c>
      <c r="B114" s="3" t="s">
        <v>22</v>
      </c>
      <c r="C114" s="3" t="s">
        <v>269</v>
      </c>
      <c r="D114" s="9" t="s">
        <v>270</v>
      </c>
      <c r="E114" s="3" t="s">
        <v>11</v>
      </c>
      <c r="F114" s="4">
        <f>'Memória de Cálculo'!K470</f>
        <v>7.72</v>
      </c>
      <c r="G114" s="5">
        <v>84.38</v>
      </c>
      <c r="H114" s="5"/>
      <c r="I114" s="5">
        <f t="shared" ref="I114:I116" si="32">ROUND(G114*(1+$I$10),2)</f>
        <v>105.22</v>
      </c>
      <c r="J114" s="5">
        <f t="shared" si="29"/>
        <v>812.3</v>
      </c>
    </row>
    <row r="115" spans="1:10" ht="25.5">
      <c r="A115" s="3" t="s">
        <v>621</v>
      </c>
      <c r="B115" s="3" t="s">
        <v>22</v>
      </c>
      <c r="C115" s="3" t="s">
        <v>271</v>
      </c>
      <c r="D115" s="9" t="s">
        <v>272</v>
      </c>
      <c r="E115" s="3" t="s">
        <v>11</v>
      </c>
      <c r="F115" s="4">
        <f>'Memória de Cálculo'!K480</f>
        <v>93.37</v>
      </c>
      <c r="G115" s="5">
        <v>7.94</v>
      </c>
      <c r="H115" s="5"/>
      <c r="I115" s="5">
        <f t="shared" si="32"/>
        <v>9.9</v>
      </c>
      <c r="J115" s="5">
        <f t="shared" si="29"/>
        <v>924.36</v>
      </c>
    </row>
    <row r="116" spans="1:10" ht="25.5">
      <c r="A116" s="3" t="s">
        <v>622</v>
      </c>
      <c r="B116" s="3" t="s">
        <v>22</v>
      </c>
      <c r="C116" s="3" t="s">
        <v>273</v>
      </c>
      <c r="D116" s="9" t="s">
        <v>274</v>
      </c>
      <c r="E116" s="3" t="s">
        <v>11</v>
      </c>
      <c r="F116" s="4">
        <f>'Memória de Cálculo'!K485</f>
        <v>10.6</v>
      </c>
      <c r="G116" s="5">
        <v>117.25</v>
      </c>
      <c r="H116" s="5"/>
      <c r="I116" s="5">
        <f t="shared" si="32"/>
        <v>146.21</v>
      </c>
      <c r="J116" s="5">
        <f t="shared" si="29"/>
        <v>1549.83</v>
      </c>
    </row>
    <row r="117" spans="1:10">
      <c r="A117" s="55">
        <v>9</v>
      </c>
      <c r="B117" s="55"/>
      <c r="C117" s="55"/>
      <c r="D117" s="56" t="s">
        <v>275</v>
      </c>
      <c r="E117" s="55" t="s">
        <v>127</v>
      </c>
      <c r="F117" s="55"/>
      <c r="G117" s="55"/>
      <c r="H117" s="55"/>
      <c r="I117" s="55"/>
      <c r="J117" s="57">
        <f>SUBTOTAL(9,J118:J223)</f>
        <v>26824.560000000001</v>
      </c>
    </row>
    <row r="118" spans="1:10">
      <c r="A118" s="55" t="s">
        <v>623</v>
      </c>
      <c r="B118" s="55"/>
      <c r="C118" s="55"/>
      <c r="D118" s="56" t="s">
        <v>276</v>
      </c>
      <c r="E118" s="55" t="s">
        <v>127</v>
      </c>
      <c r="F118" s="55"/>
      <c r="G118" s="55"/>
      <c r="H118" s="55"/>
      <c r="I118" s="55"/>
      <c r="J118" s="57">
        <f>SUBTOTAL(9,J120:J154)</f>
        <v>16217.67</v>
      </c>
    </row>
    <row r="119" spans="1:10">
      <c r="A119" s="55" t="s">
        <v>624</v>
      </c>
      <c r="B119" s="55"/>
      <c r="C119" s="55"/>
      <c r="D119" s="56" t="s">
        <v>277</v>
      </c>
      <c r="E119" s="55" t="s">
        <v>127</v>
      </c>
      <c r="F119" s="55"/>
      <c r="G119" s="55"/>
      <c r="H119" s="55"/>
      <c r="I119" s="55"/>
      <c r="J119" s="57"/>
    </row>
    <row r="120" spans="1:10" ht="25.5">
      <c r="A120" s="3" t="s">
        <v>625</v>
      </c>
      <c r="B120" s="3" t="s">
        <v>418</v>
      </c>
      <c r="C120" s="3" t="s">
        <v>793</v>
      </c>
      <c r="D120" s="9" t="s">
        <v>794</v>
      </c>
      <c r="E120" s="3" t="s">
        <v>182</v>
      </c>
      <c r="F120" s="4">
        <f>'Memória de Cálculo'!K490</f>
        <v>1</v>
      </c>
      <c r="G120" s="5">
        <v>18.18</v>
      </c>
      <c r="H120" s="5"/>
      <c r="I120" s="5">
        <f t="shared" ref="I120:I121" si="33">ROUND(G120*(1+$I$10),2)</f>
        <v>22.67</v>
      </c>
      <c r="J120" s="5">
        <f t="shared" ref="J120:J154" si="34">ROUND(I120*F120,2)</f>
        <v>22.67</v>
      </c>
    </row>
    <row r="121" spans="1:10" ht="25.5">
      <c r="A121" s="3" t="s">
        <v>626</v>
      </c>
      <c r="B121" s="3" t="s">
        <v>418</v>
      </c>
      <c r="C121" s="3" t="s">
        <v>795</v>
      </c>
      <c r="D121" s="9" t="s">
        <v>796</v>
      </c>
      <c r="E121" s="3" t="s">
        <v>182</v>
      </c>
      <c r="F121" s="4">
        <f>'Memória de Cálculo'!K492</f>
        <v>4</v>
      </c>
      <c r="G121" s="5">
        <v>18.29</v>
      </c>
      <c r="H121" s="5"/>
      <c r="I121" s="5">
        <f t="shared" si="33"/>
        <v>22.81</v>
      </c>
      <c r="J121" s="5">
        <f t="shared" si="34"/>
        <v>91.24</v>
      </c>
    </row>
    <row r="122" spans="1:10" ht="25.5">
      <c r="A122" s="3" t="s">
        <v>627</v>
      </c>
      <c r="B122" s="3" t="s">
        <v>418</v>
      </c>
      <c r="C122" s="3" t="s">
        <v>797</v>
      </c>
      <c r="D122" s="9" t="s">
        <v>798</v>
      </c>
      <c r="E122" s="3" t="s">
        <v>182</v>
      </c>
      <c r="F122" s="4">
        <f>'Memória de Cálculo'!K494</f>
        <v>1</v>
      </c>
      <c r="G122" s="5">
        <v>16.399999999999999</v>
      </c>
      <c r="H122" s="5"/>
      <c r="I122" s="5">
        <f t="shared" ref="I122:I127" si="35">ROUND(G122*(1+$I$10),2)</f>
        <v>20.45</v>
      </c>
      <c r="J122" s="5">
        <f t="shared" si="34"/>
        <v>20.45</v>
      </c>
    </row>
    <row r="123" spans="1:10" ht="25.5">
      <c r="A123" s="3" t="s">
        <v>628</v>
      </c>
      <c r="B123" s="3" t="s">
        <v>418</v>
      </c>
      <c r="C123" s="3" t="s">
        <v>799</v>
      </c>
      <c r="D123" s="9" t="s">
        <v>800</v>
      </c>
      <c r="E123" s="3" t="s">
        <v>182</v>
      </c>
      <c r="F123" s="4">
        <f>'Memória de Cálculo'!K496</f>
        <v>1</v>
      </c>
      <c r="G123" s="5">
        <v>46.89</v>
      </c>
      <c r="H123" s="5"/>
      <c r="I123" s="5">
        <f t="shared" si="35"/>
        <v>58.47</v>
      </c>
      <c r="J123" s="5">
        <f t="shared" si="34"/>
        <v>58.47</v>
      </c>
    </row>
    <row r="124" spans="1:10" ht="25.5">
      <c r="A124" s="3" t="s">
        <v>629</v>
      </c>
      <c r="B124" s="3" t="s">
        <v>418</v>
      </c>
      <c r="C124" s="3" t="s">
        <v>801</v>
      </c>
      <c r="D124" s="9" t="s">
        <v>802</v>
      </c>
      <c r="E124" s="3" t="s">
        <v>182</v>
      </c>
      <c r="F124" s="4">
        <f>'Memória de Cálculo'!K498</f>
        <v>1</v>
      </c>
      <c r="G124" s="5">
        <v>84.31</v>
      </c>
      <c r="H124" s="5"/>
      <c r="I124" s="5">
        <f t="shared" si="35"/>
        <v>105.13</v>
      </c>
      <c r="J124" s="5">
        <f t="shared" si="34"/>
        <v>105.13</v>
      </c>
    </row>
    <row r="125" spans="1:10" ht="25.5">
      <c r="A125" s="3" t="s">
        <v>630</v>
      </c>
      <c r="B125" s="3" t="s">
        <v>418</v>
      </c>
      <c r="C125" s="3" t="s">
        <v>803</v>
      </c>
      <c r="D125" s="9" t="s">
        <v>804</v>
      </c>
      <c r="E125" s="3" t="s">
        <v>182</v>
      </c>
      <c r="F125" s="4">
        <f>'Memória de Cálculo'!K500</f>
        <v>4</v>
      </c>
      <c r="G125" s="5">
        <v>47.1</v>
      </c>
      <c r="H125" s="5"/>
      <c r="I125" s="5">
        <f t="shared" si="35"/>
        <v>58.73</v>
      </c>
      <c r="J125" s="5">
        <f t="shared" si="34"/>
        <v>234.92</v>
      </c>
    </row>
    <row r="126" spans="1:10" ht="38.25">
      <c r="A126" s="3" t="s">
        <v>631</v>
      </c>
      <c r="B126" s="3" t="s">
        <v>418</v>
      </c>
      <c r="C126" s="3" t="s">
        <v>805</v>
      </c>
      <c r="D126" s="9" t="s">
        <v>806</v>
      </c>
      <c r="E126" s="3" t="s">
        <v>182</v>
      </c>
      <c r="F126" s="4">
        <f>'Memória de Cálculo'!K502</f>
        <v>1</v>
      </c>
      <c r="G126" s="5">
        <v>174.98</v>
      </c>
      <c r="H126" s="5"/>
      <c r="I126" s="5">
        <f t="shared" si="35"/>
        <v>218.2</v>
      </c>
      <c r="J126" s="5">
        <f t="shared" si="34"/>
        <v>218.2</v>
      </c>
    </row>
    <row r="127" spans="1:10" ht="38.25">
      <c r="A127" s="3" t="s">
        <v>752</v>
      </c>
      <c r="B127" s="3" t="s">
        <v>418</v>
      </c>
      <c r="C127" s="3" t="s">
        <v>753</v>
      </c>
      <c r="D127" s="9" t="s">
        <v>754</v>
      </c>
      <c r="E127" s="3" t="s">
        <v>182</v>
      </c>
      <c r="F127" s="4">
        <f>'Memória de Cálculo'!K504</f>
        <v>1</v>
      </c>
      <c r="G127" s="5">
        <v>473.25</v>
      </c>
      <c r="H127" s="5"/>
      <c r="I127" s="5">
        <f t="shared" si="35"/>
        <v>590.14</v>
      </c>
      <c r="J127" s="5">
        <f t="shared" si="34"/>
        <v>590.14</v>
      </c>
    </row>
    <row r="128" spans="1:10">
      <c r="A128" s="55" t="s">
        <v>632</v>
      </c>
      <c r="B128" s="55"/>
      <c r="C128" s="55"/>
      <c r="D128" s="56" t="s">
        <v>278</v>
      </c>
      <c r="E128" s="55" t="s">
        <v>127</v>
      </c>
      <c r="F128" s="55"/>
      <c r="G128" s="55"/>
      <c r="H128" s="55"/>
      <c r="I128" s="55"/>
      <c r="J128" s="57"/>
    </row>
    <row r="129" spans="1:10" ht="38.25">
      <c r="A129" s="3" t="s">
        <v>633</v>
      </c>
      <c r="B129" s="3" t="s">
        <v>418</v>
      </c>
      <c r="C129" s="3" t="s">
        <v>755</v>
      </c>
      <c r="D129" s="9" t="s">
        <v>756</v>
      </c>
      <c r="E129" s="3" t="s">
        <v>182</v>
      </c>
      <c r="F129" s="4">
        <f>'Memória de Cálculo'!K507</f>
        <v>8</v>
      </c>
      <c r="G129" s="5">
        <v>31.4</v>
      </c>
      <c r="H129" s="5"/>
      <c r="I129" s="5">
        <f t="shared" ref="I129:I130" si="36">ROUND(G129*(1+$I$10),2)</f>
        <v>39.159999999999997</v>
      </c>
      <c r="J129" s="5">
        <f t="shared" si="34"/>
        <v>313.27999999999997</v>
      </c>
    </row>
    <row r="130" spans="1:10" ht="38.25">
      <c r="A130" s="3" t="s">
        <v>634</v>
      </c>
      <c r="B130" s="3" t="s">
        <v>418</v>
      </c>
      <c r="C130" s="3" t="s">
        <v>757</v>
      </c>
      <c r="D130" s="9" t="s">
        <v>758</v>
      </c>
      <c r="E130" s="3" t="s">
        <v>182</v>
      </c>
      <c r="F130" s="4">
        <f>'Memória de Cálculo'!K509</f>
        <v>5</v>
      </c>
      <c r="G130" s="5">
        <v>44.88</v>
      </c>
      <c r="H130" s="5"/>
      <c r="I130" s="5">
        <f t="shared" si="36"/>
        <v>55.97</v>
      </c>
      <c r="J130" s="5">
        <f t="shared" si="34"/>
        <v>279.85000000000002</v>
      </c>
    </row>
    <row r="131" spans="1:10" ht="51">
      <c r="A131" s="3" t="s">
        <v>635</v>
      </c>
      <c r="B131" s="3" t="s">
        <v>24</v>
      </c>
      <c r="C131" s="3" t="s">
        <v>868</v>
      </c>
      <c r="D131" s="9" t="s">
        <v>759</v>
      </c>
      <c r="E131" s="3" t="s">
        <v>182</v>
      </c>
      <c r="F131" s="4">
        <f>'Memória de Cálculo'!K511</f>
        <v>1</v>
      </c>
      <c r="G131" s="5">
        <v>47.49</v>
      </c>
      <c r="H131" s="5"/>
      <c r="I131" s="5">
        <f t="shared" ref="I131:I141" si="37">ROUND(G131*(1+$I$10),2)</f>
        <v>59.22</v>
      </c>
      <c r="J131" s="5">
        <f t="shared" si="34"/>
        <v>59.22</v>
      </c>
    </row>
    <row r="132" spans="1:10" ht="51">
      <c r="A132" s="3" t="s">
        <v>636</v>
      </c>
      <c r="B132" s="3" t="s">
        <v>418</v>
      </c>
      <c r="C132" s="3" t="s">
        <v>760</v>
      </c>
      <c r="D132" s="9" t="s">
        <v>761</v>
      </c>
      <c r="E132" s="3" t="s">
        <v>182</v>
      </c>
      <c r="F132" s="4">
        <f>'Memória de Cálculo'!K513</f>
        <v>6</v>
      </c>
      <c r="G132" s="5">
        <v>46.36</v>
      </c>
      <c r="H132" s="5"/>
      <c r="I132" s="5">
        <f t="shared" si="37"/>
        <v>57.81</v>
      </c>
      <c r="J132" s="5">
        <f t="shared" si="34"/>
        <v>346.86</v>
      </c>
    </row>
    <row r="133" spans="1:10" ht="51">
      <c r="A133" s="3" t="s">
        <v>637</v>
      </c>
      <c r="B133" s="3" t="s">
        <v>418</v>
      </c>
      <c r="C133" s="3" t="s">
        <v>762</v>
      </c>
      <c r="D133" s="9" t="s">
        <v>763</v>
      </c>
      <c r="E133" s="3" t="s">
        <v>182</v>
      </c>
      <c r="F133" s="4">
        <f>'Memória de Cálculo'!K515</f>
        <v>2</v>
      </c>
      <c r="G133" s="5">
        <v>64.55</v>
      </c>
      <c r="H133" s="5"/>
      <c r="I133" s="5">
        <f t="shared" si="37"/>
        <v>80.489999999999995</v>
      </c>
      <c r="J133" s="5">
        <f t="shared" si="34"/>
        <v>160.97999999999999</v>
      </c>
    </row>
    <row r="134" spans="1:10" ht="38.25">
      <c r="A134" s="3" t="s">
        <v>638</v>
      </c>
      <c r="B134" s="3" t="s">
        <v>418</v>
      </c>
      <c r="C134" s="3" t="s">
        <v>764</v>
      </c>
      <c r="D134" s="9" t="s">
        <v>790</v>
      </c>
      <c r="E134" s="3" t="s">
        <v>182</v>
      </c>
      <c r="F134" s="4">
        <f>'Memória de Cálculo'!K517</f>
        <v>1</v>
      </c>
      <c r="G134" s="5">
        <v>38.229999999999997</v>
      </c>
      <c r="H134" s="5"/>
      <c r="I134" s="5">
        <f t="shared" si="37"/>
        <v>47.67</v>
      </c>
      <c r="J134" s="5">
        <f t="shared" si="34"/>
        <v>47.67</v>
      </c>
    </row>
    <row r="135" spans="1:10" ht="51">
      <c r="A135" s="3" t="s">
        <v>639</v>
      </c>
      <c r="B135" s="3" t="s">
        <v>418</v>
      </c>
      <c r="C135" s="3" t="s">
        <v>765</v>
      </c>
      <c r="D135" s="9" t="s">
        <v>766</v>
      </c>
      <c r="E135" s="3" t="s">
        <v>182</v>
      </c>
      <c r="F135" s="4">
        <f>'Memória de Cálculo'!K519</f>
        <v>1</v>
      </c>
      <c r="G135" s="5">
        <v>51.71</v>
      </c>
      <c r="H135" s="5"/>
      <c r="I135" s="5">
        <f t="shared" si="37"/>
        <v>64.48</v>
      </c>
      <c r="J135" s="5">
        <f t="shared" si="34"/>
        <v>64.48</v>
      </c>
    </row>
    <row r="136" spans="1:10" ht="38.25">
      <c r="A136" s="3" t="s">
        <v>640</v>
      </c>
      <c r="B136" s="3" t="s">
        <v>418</v>
      </c>
      <c r="C136" s="3" t="s">
        <v>767</v>
      </c>
      <c r="D136" s="9" t="s">
        <v>768</v>
      </c>
      <c r="E136" s="3" t="s">
        <v>182</v>
      </c>
      <c r="F136" s="4">
        <f>'Memória de Cálculo'!K521</f>
        <v>3</v>
      </c>
      <c r="G136" s="5">
        <v>18.95</v>
      </c>
      <c r="H136" s="5"/>
      <c r="I136" s="5">
        <f t="shared" si="37"/>
        <v>23.63</v>
      </c>
      <c r="J136" s="5">
        <f t="shared" si="34"/>
        <v>70.89</v>
      </c>
    </row>
    <row r="137" spans="1:10" ht="25.5">
      <c r="A137" s="3" t="s">
        <v>641</v>
      </c>
      <c r="B137" s="3" t="s">
        <v>418</v>
      </c>
      <c r="C137" s="3" t="s">
        <v>769</v>
      </c>
      <c r="D137" s="9" t="s">
        <v>770</v>
      </c>
      <c r="E137" s="3" t="s">
        <v>182</v>
      </c>
      <c r="F137" s="4">
        <f>'Memória de Cálculo'!K523</f>
        <v>1</v>
      </c>
      <c r="G137" s="5">
        <v>230.33</v>
      </c>
      <c r="H137" s="5"/>
      <c r="I137" s="5">
        <f t="shared" si="37"/>
        <v>287.22000000000003</v>
      </c>
      <c r="J137" s="5">
        <f t="shared" si="34"/>
        <v>287.22000000000003</v>
      </c>
    </row>
    <row r="138" spans="1:10" ht="38.25">
      <c r="A138" s="3" t="s">
        <v>642</v>
      </c>
      <c r="B138" s="3" t="s">
        <v>418</v>
      </c>
      <c r="C138" s="3" t="s">
        <v>771</v>
      </c>
      <c r="D138" s="9" t="s">
        <v>772</v>
      </c>
      <c r="E138" s="3" t="s">
        <v>182</v>
      </c>
      <c r="F138" s="4">
        <f>'Memória de Cálculo'!K525</f>
        <v>8</v>
      </c>
      <c r="G138" s="5">
        <v>11.14</v>
      </c>
      <c r="H138" s="5"/>
      <c r="I138" s="5">
        <f t="shared" si="37"/>
        <v>13.89</v>
      </c>
      <c r="J138" s="5">
        <f t="shared" si="34"/>
        <v>111.12</v>
      </c>
    </row>
    <row r="139" spans="1:10" ht="25.5">
      <c r="A139" s="3" t="s">
        <v>643</v>
      </c>
      <c r="B139" s="3" t="s">
        <v>418</v>
      </c>
      <c r="C139" s="3" t="s">
        <v>773</v>
      </c>
      <c r="D139" s="9" t="s">
        <v>774</v>
      </c>
      <c r="E139" s="3" t="s">
        <v>182</v>
      </c>
      <c r="F139" s="4">
        <f>'Memória de Cálculo'!K527</f>
        <v>15</v>
      </c>
      <c r="G139" s="5">
        <v>18.21</v>
      </c>
      <c r="H139" s="5"/>
      <c r="I139" s="5">
        <f t="shared" si="37"/>
        <v>22.71</v>
      </c>
      <c r="J139" s="5">
        <f t="shared" si="34"/>
        <v>340.65</v>
      </c>
    </row>
    <row r="140" spans="1:10" ht="51">
      <c r="A140" s="3" t="s">
        <v>644</v>
      </c>
      <c r="B140" s="3" t="s">
        <v>24</v>
      </c>
      <c r="C140" s="3" t="s">
        <v>869</v>
      </c>
      <c r="D140" s="9" t="s">
        <v>775</v>
      </c>
      <c r="E140" s="3" t="s">
        <v>182</v>
      </c>
      <c r="F140" s="4">
        <f>'Memória de Cálculo'!K529</f>
        <v>15</v>
      </c>
      <c r="G140" s="5">
        <v>25.95</v>
      </c>
      <c r="H140" s="5"/>
      <c r="I140" s="5">
        <f t="shared" si="37"/>
        <v>32.36</v>
      </c>
      <c r="J140" s="5">
        <f t="shared" si="34"/>
        <v>485.4</v>
      </c>
    </row>
    <row r="141" spans="1:10" ht="29.25" customHeight="1">
      <c r="A141" s="3" t="s">
        <v>645</v>
      </c>
      <c r="B141" s="3" t="s">
        <v>418</v>
      </c>
      <c r="C141" s="3" t="s">
        <v>776</v>
      </c>
      <c r="D141" s="9" t="s">
        <v>777</v>
      </c>
      <c r="E141" s="3" t="s">
        <v>182</v>
      </c>
      <c r="F141" s="4">
        <f>'Memória de Cálculo'!K531</f>
        <v>27</v>
      </c>
      <c r="G141" s="5">
        <v>10.96</v>
      </c>
      <c r="H141" s="5"/>
      <c r="I141" s="5">
        <f t="shared" si="37"/>
        <v>13.67</v>
      </c>
      <c r="J141" s="5">
        <f t="shared" si="34"/>
        <v>369.09</v>
      </c>
    </row>
    <row r="142" spans="1:10">
      <c r="A142" s="55" t="s">
        <v>646</v>
      </c>
      <c r="B142" s="55"/>
      <c r="C142" s="55"/>
      <c r="D142" s="56" t="s">
        <v>807</v>
      </c>
      <c r="E142" s="55" t="s">
        <v>127</v>
      </c>
      <c r="F142" s="55"/>
      <c r="G142" s="55"/>
      <c r="H142" s="55"/>
      <c r="I142" s="55"/>
      <c r="J142" s="57"/>
    </row>
    <row r="143" spans="1:10" ht="45" customHeight="1">
      <c r="A143" s="3" t="s">
        <v>647</v>
      </c>
      <c r="B143" s="3" t="s">
        <v>418</v>
      </c>
      <c r="C143" s="3" t="s">
        <v>778</v>
      </c>
      <c r="D143" s="9" t="s">
        <v>779</v>
      </c>
      <c r="E143" s="3" t="s">
        <v>11</v>
      </c>
      <c r="F143" s="4">
        <f>'Memória de Cálculo'!K534</f>
        <v>240</v>
      </c>
      <c r="G143" s="5">
        <v>3.12</v>
      </c>
      <c r="H143" s="5"/>
      <c r="I143" s="5">
        <f t="shared" ref="I143:I144" si="38">ROUND(G143*(1+$I$10),2)</f>
        <v>3.89</v>
      </c>
      <c r="J143" s="5">
        <f t="shared" si="34"/>
        <v>933.6</v>
      </c>
    </row>
    <row r="144" spans="1:10" ht="41.25" customHeight="1">
      <c r="A144" s="3" t="s">
        <v>648</v>
      </c>
      <c r="B144" s="3" t="s">
        <v>418</v>
      </c>
      <c r="C144" s="3" t="s">
        <v>780</v>
      </c>
      <c r="D144" s="9" t="s">
        <v>791</v>
      </c>
      <c r="E144" s="3" t="s">
        <v>11</v>
      </c>
      <c r="F144" s="4">
        <f>'Memória de Cálculo'!K536</f>
        <v>318</v>
      </c>
      <c r="G144" s="5">
        <v>4.5999999999999996</v>
      </c>
      <c r="H144" s="5"/>
      <c r="I144" s="5">
        <f t="shared" si="38"/>
        <v>5.74</v>
      </c>
      <c r="J144" s="5">
        <f t="shared" si="34"/>
        <v>1825.32</v>
      </c>
    </row>
    <row r="145" spans="1:10" ht="41.25" customHeight="1">
      <c r="A145" s="3" t="s">
        <v>649</v>
      </c>
      <c r="B145" s="3" t="s">
        <v>418</v>
      </c>
      <c r="C145" s="3" t="s">
        <v>781</v>
      </c>
      <c r="D145" s="9" t="s">
        <v>792</v>
      </c>
      <c r="E145" s="3" t="s">
        <v>11</v>
      </c>
      <c r="F145" s="4">
        <f>'Memória de Cálculo'!K538</f>
        <v>19</v>
      </c>
      <c r="G145" s="5">
        <v>8.7899999999999991</v>
      </c>
      <c r="H145" s="5"/>
      <c r="I145" s="5">
        <f t="shared" ref="I145:I154" si="39">ROUND(G145*(1+$I$10),2)</f>
        <v>10.96</v>
      </c>
      <c r="J145" s="5">
        <f t="shared" si="34"/>
        <v>208.24</v>
      </c>
    </row>
    <row r="146" spans="1:10" ht="41.25" customHeight="1">
      <c r="A146" s="3" t="s">
        <v>650</v>
      </c>
      <c r="B146" s="3" t="s">
        <v>418</v>
      </c>
      <c r="C146" s="3" t="s">
        <v>782</v>
      </c>
      <c r="D146" s="9" t="s">
        <v>783</v>
      </c>
      <c r="E146" s="3" t="s">
        <v>11</v>
      </c>
      <c r="F146" s="4">
        <f>'Memória de Cálculo'!K540</f>
        <v>72</v>
      </c>
      <c r="G146" s="5">
        <v>22.63</v>
      </c>
      <c r="H146" s="5"/>
      <c r="I146" s="5">
        <f t="shared" si="39"/>
        <v>28.22</v>
      </c>
      <c r="J146" s="5">
        <f t="shared" si="34"/>
        <v>2031.84</v>
      </c>
    </row>
    <row r="147" spans="1:10" ht="25.5">
      <c r="A147" s="3" t="s">
        <v>651</v>
      </c>
      <c r="B147" s="3" t="s">
        <v>418</v>
      </c>
      <c r="C147" s="3" t="s">
        <v>784</v>
      </c>
      <c r="D147" s="9" t="s">
        <v>785</v>
      </c>
      <c r="E147" s="3" t="s">
        <v>11</v>
      </c>
      <c r="F147" s="4">
        <f>'Memória de Cálculo'!K542</f>
        <v>158</v>
      </c>
      <c r="G147" s="5">
        <v>9.52</v>
      </c>
      <c r="H147" s="5"/>
      <c r="I147" s="5">
        <f t="shared" si="39"/>
        <v>11.87</v>
      </c>
      <c r="J147" s="5">
        <f t="shared" si="34"/>
        <v>1875.46</v>
      </c>
    </row>
    <row r="148" spans="1:10" ht="38.25">
      <c r="A148" s="3" t="s">
        <v>652</v>
      </c>
      <c r="B148" s="3" t="s">
        <v>418</v>
      </c>
      <c r="C148" s="3" t="s">
        <v>786</v>
      </c>
      <c r="D148" s="9" t="s">
        <v>787</v>
      </c>
      <c r="E148" s="3" t="s">
        <v>11</v>
      </c>
      <c r="F148" s="4">
        <f>'Memória de Cálculo'!K544</f>
        <v>13</v>
      </c>
      <c r="G148" s="5">
        <v>24.9</v>
      </c>
      <c r="H148" s="5"/>
      <c r="I148" s="5">
        <f t="shared" si="39"/>
        <v>31.05</v>
      </c>
      <c r="J148" s="5">
        <f t="shared" si="34"/>
        <v>403.65</v>
      </c>
    </row>
    <row r="149" spans="1:10" ht="25.5">
      <c r="A149" s="3" t="s">
        <v>653</v>
      </c>
      <c r="B149" s="3" t="s">
        <v>418</v>
      </c>
      <c r="C149" s="3" t="s">
        <v>788</v>
      </c>
      <c r="D149" s="9" t="s">
        <v>789</v>
      </c>
      <c r="E149" s="3" t="s">
        <v>11</v>
      </c>
      <c r="F149" s="4">
        <f>'Memória de Cálculo'!K546</f>
        <v>4</v>
      </c>
      <c r="G149" s="5">
        <v>13.25</v>
      </c>
      <c r="H149" s="5"/>
      <c r="I149" s="5">
        <f t="shared" si="39"/>
        <v>16.52</v>
      </c>
      <c r="J149" s="5">
        <f t="shared" si="34"/>
        <v>66.08</v>
      </c>
    </row>
    <row r="150" spans="1:10">
      <c r="A150" s="3" t="s">
        <v>654</v>
      </c>
      <c r="B150" s="3" t="s">
        <v>22</v>
      </c>
      <c r="C150" s="3" t="s">
        <v>132</v>
      </c>
      <c r="D150" s="9" t="s">
        <v>133</v>
      </c>
      <c r="E150" s="3" t="s">
        <v>9</v>
      </c>
      <c r="F150" s="4">
        <f>'Memória de Cálculo'!K548</f>
        <v>0.63</v>
      </c>
      <c r="G150" s="5">
        <v>89.55</v>
      </c>
      <c r="H150" s="5"/>
      <c r="I150" s="5">
        <f t="shared" si="39"/>
        <v>111.67</v>
      </c>
      <c r="J150" s="5">
        <f t="shared" si="34"/>
        <v>70.349999999999994</v>
      </c>
    </row>
    <row r="151" spans="1:10" ht="38.25">
      <c r="A151" s="3" t="s">
        <v>655</v>
      </c>
      <c r="B151" s="3" t="s">
        <v>418</v>
      </c>
      <c r="C151" s="3" t="s">
        <v>808</v>
      </c>
      <c r="D151" s="9" t="s">
        <v>809</v>
      </c>
      <c r="E151" s="3" t="s">
        <v>182</v>
      </c>
      <c r="F151" s="4">
        <f>'Memória de Cálculo'!K550</f>
        <v>2</v>
      </c>
      <c r="G151" s="5">
        <v>111.18</v>
      </c>
      <c r="H151" s="5"/>
      <c r="I151" s="5">
        <f t="shared" si="39"/>
        <v>138.63999999999999</v>
      </c>
      <c r="J151" s="5">
        <f t="shared" si="34"/>
        <v>277.27999999999997</v>
      </c>
    </row>
    <row r="152" spans="1:10" ht="38.25">
      <c r="A152" s="3" t="s">
        <v>815</v>
      </c>
      <c r="B152" s="3" t="s">
        <v>418</v>
      </c>
      <c r="C152" s="3" t="s">
        <v>810</v>
      </c>
      <c r="D152" s="9" t="s">
        <v>811</v>
      </c>
      <c r="E152" s="3" t="s">
        <v>182</v>
      </c>
      <c r="F152" s="4">
        <f>'Memória de Cálculo'!K552</f>
        <v>2</v>
      </c>
      <c r="G152" s="5">
        <v>112.44</v>
      </c>
      <c r="H152" s="5"/>
      <c r="I152" s="5">
        <f t="shared" si="39"/>
        <v>140.21</v>
      </c>
      <c r="J152" s="5">
        <f t="shared" si="34"/>
        <v>280.42</v>
      </c>
    </row>
    <row r="153" spans="1:10" ht="38.25">
      <c r="A153" s="3" t="s">
        <v>816</v>
      </c>
      <c r="B153" s="3" t="s">
        <v>418</v>
      </c>
      <c r="C153" s="3" t="s">
        <v>812</v>
      </c>
      <c r="D153" s="9" t="s">
        <v>813</v>
      </c>
      <c r="E153" s="3" t="s">
        <v>182</v>
      </c>
      <c r="F153" s="4">
        <f>'Memória de Cálculo'!K554</f>
        <v>1</v>
      </c>
      <c r="G153" s="5">
        <v>208.08</v>
      </c>
      <c r="H153" s="5"/>
      <c r="I153" s="5">
        <f t="shared" si="39"/>
        <v>259.48</v>
      </c>
      <c r="J153" s="5">
        <f t="shared" si="34"/>
        <v>259.48</v>
      </c>
    </row>
    <row r="154" spans="1:10" ht="51">
      <c r="A154" s="3" t="s">
        <v>817</v>
      </c>
      <c r="B154" s="3" t="s">
        <v>24</v>
      </c>
      <c r="C154" s="3" t="s">
        <v>870</v>
      </c>
      <c r="D154" s="9" t="s">
        <v>814</v>
      </c>
      <c r="E154" s="3" t="s">
        <v>182</v>
      </c>
      <c r="F154" s="4">
        <f>'Memória de Cálculo'!K556</f>
        <v>1</v>
      </c>
      <c r="G154" s="5">
        <v>2973.55</v>
      </c>
      <c r="H154" s="5"/>
      <c r="I154" s="5">
        <f t="shared" si="39"/>
        <v>3708.02</v>
      </c>
      <c r="J154" s="5">
        <f t="shared" si="34"/>
        <v>3708.02</v>
      </c>
    </row>
    <row r="155" spans="1:10">
      <c r="A155" s="55" t="s">
        <v>656</v>
      </c>
      <c r="B155" s="55"/>
      <c r="C155" s="55"/>
      <c r="D155" s="56" t="s">
        <v>448</v>
      </c>
      <c r="E155" s="55" t="s">
        <v>127</v>
      </c>
      <c r="F155" s="55"/>
      <c r="G155" s="55"/>
      <c r="H155" s="55"/>
      <c r="I155" s="55"/>
      <c r="J155" s="57">
        <f>SUBTOTAL(9,J157:J223)</f>
        <v>10606.89</v>
      </c>
    </row>
    <row r="156" spans="1:10">
      <c r="A156" s="55" t="s">
        <v>657</v>
      </c>
      <c r="B156" s="55"/>
      <c r="C156" s="55"/>
      <c r="D156" s="56" t="s">
        <v>279</v>
      </c>
      <c r="E156" s="55" t="s">
        <v>127</v>
      </c>
      <c r="F156" s="55"/>
      <c r="G156" s="55"/>
      <c r="H156" s="55"/>
      <c r="I156" s="55"/>
      <c r="J156" s="57"/>
    </row>
    <row r="157" spans="1:10" ht="38.25">
      <c r="A157" s="3" t="s">
        <v>658</v>
      </c>
      <c r="B157" s="3" t="s">
        <v>22</v>
      </c>
      <c r="C157" s="3" t="s">
        <v>449</v>
      </c>
      <c r="D157" s="9" t="s">
        <v>450</v>
      </c>
      <c r="E157" s="3" t="s">
        <v>182</v>
      </c>
      <c r="F157" s="4">
        <f>'Memória de Cálculo'!K560</f>
        <v>1</v>
      </c>
      <c r="G157" s="5">
        <v>19.579999999999998</v>
      </c>
      <c r="H157" s="5"/>
      <c r="I157" s="5">
        <f t="shared" ref="I157:I158" si="40">ROUND(G157*(1+$I$10),2)</f>
        <v>24.42</v>
      </c>
      <c r="J157" s="5">
        <f t="shared" ref="J157:J196" si="41">ROUND(I157*F157,2)</f>
        <v>24.42</v>
      </c>
    </row>
    <row r="158" spans="1:10" ht="25.5">
      <c r="A158" s="3" t="s">
        <v>659</v>
      </c>
      <c r="B158" s="3" t="s">
        <v>22</v>
      </c>
      <c r="C158" s="3" t="s">
        <v>451</v>
      </c>
      <c r="D158" s="9" t="s">
        <v>452</v>
      </c>
      <c r="E158" s="3" t="s">
        <v>182</v>
      </c>
      <c r="F158" s="4">
        <f>'Memória de Cálculo'!K562</f>
        <v>1</v>
      </c>
      <c r="G158" s="5">
        <v>20.22</v>
      </c>
      <c r="H158" s="5"/>
      <c r="I158" s="5">
        <f t="shared" si="40"/>
        <v>25.21</v>
      </c>
      <c r="J158" s="5">
        <f t="shared" si="41"/>
        <v>25.21</v>
      </c>
    </row>
    <row r="159" spans="1:10" ht="25.5">
      <c r="A159" s="3" t="s">
        <v>660</v>
      </c>
      <c r="B159" s="3" t="s">
        <v>22</v>
      </c>
      <c r="C159" s="3" t="s">
        <v>453</v>
      </c>
      <c r="D159" s="9" t="s">
        <v>454</v>
      </c>
      <c r="E159" s="3" t="s">
        <v>182</v>
      </c>
      <c r="F159" s="4">
        <f>'Memória de Cálculo'!K564</f>
        <v>1</v>
      </c>
      <c r="G159" s="5">
        <v>12.64</v>
      </c>
      <c r="H159" s="5"/>
      <c r="I159" s="5">
        <f t="shared" ref="I159:I163" si="42">ROUND(G159*(1+$I$10),2)</f>
        <v>15.76</v>
      </c>
      <c r="J159" s="5">
        <f t="shared" si="41"/>
        <v>15.76</v>
      </c>
    </row>
    <row r="160" spans="1:10" ht="25.5">
      <c r="A160" s="3" t="s">
        <v>661</v>
      </c>
      <c r="B160" s="3" t="s">
        <v>22</v>
      </c>
      <c r="C160" s="3" t="s">
        <v>455</v>
      </c>
      <c r="D160" s="9" t="s">
        <v>456</v>
      </c>
      <c r="E160" s="3" t="s">
        <v>182</v>
      </c>
      <c r="F160" s="4">
        <f>'Memória de Cálculo'!K566</f>
        <v>1</v>
      </c>
      <c r="G160" s="5">
        <v>12.05</v>
      </c>
      <c r="H160" s="5"/>
      <c r="I160" s="5">
        <f t="shared" si="42"/>
        <v>15.03</v>
      </c>
      <c r="J160" s="5">
        <f t="shared" si="41"/>
        <v>15.03</v>
      </c>
    </row>
    <row r="161" spans="1:10" ht="25.5">
      <c r="A161" s="3" t="s">
        <v>662</v>
      </c>
      <c r="B161" s="3" t="s">
        <v>22</v>
      </c>
      <c r="C161" s="3" t="s">
        <v>457</v>
      </c>
      <c r="D161" s="9" t="s">
        <v>458</v>
      </c>
      <c r="E161" s="3" t="s">
        <v>182</v>
      </c>
      <c r="F161" s="4">
        <f>'Memória de Cálculo'!K568</f>
        <v>1</v>
      </c>
      <c r="G161" s="5">
        <v>18.66</v>
      </c>
      <c r="H161" s="5"/>
      <c r="I161" s="5">
        <f t="shared" si="42"/>
        <v>23.27</v>
      </c>
      <c r="J161" s="5">
        <f t="shared" si="41"/>
        <v>23.27</v>
      </c>
    </row>
    <row r="162" spans="1:10" ht="25.5">
      <c r="A162" s="3" t="s">
        <v>663</v>
      </c>
      <c r="B162" s="3" t="s">
        <v>22</v>
      </c>
      <c r="C162" s="3" t="s">
        <v>459</v>
      </c>
      <c r="D162" s="9" t="s">
        <v>460</v>
      </c>
      <c r="E162" s="3" t="s">
        <v>182</v>
      </c>
      <c r="F162" s="4">
        <f>'Memória de Cálculo'!K570</f>
        <v>1</v>
      </c>
      <c r="G162" s="5">
        <v>14.73</v>
      </c>
      <c r="H162" s="5"/>
      <c r="I162" s="5">
        <f t="shared" si="42"/>
        <v>18.37</v>
      </c>
      <c r="J162" s="5">
        <f t="shared" si="41"/>
        <v>18.37</v>
      </c>
    </row>
    <row r="163" spans="1:10" ht="25.5">
      <c r="A163" s="3" t="s">
        <v>664</v>
      </c>
      <c r="B163" s="3" t="s">
        <v>22</v>
      </c>
      <c r="C163" s="3" t="s">
        <v>461</v>
      </c>
      <c r="D163" s="9" t="s">
        <v>462</v>
      </c>
      <c r="E163" s="3" t="s">
        <v>182</v>
      </c>
      <c r="F163" s="4">
        <f>'Memória de Cálculo'!K572</f>
        <v>2</v>
      </c>
      <c r="G163" s="5">
        <v>14.82</v>
      </c>
      <c r="H163" s="5"/>
      <c r="I163" s="5">
        <f t="shared" si="42"/>
        <v>18.48</v>
      </c>
      <c r="J163" s="5">
        <f t="shared" si="41"/>
        <v>36.96</v>
      </c>
    </row>
    <row r="164" spans="1:10" ht="25.5">
      <c r="A164" s="3" t="s">
        <v>665</v>
      </c>
      <c r="B164" s="3" t="s">
        <v>22</v>
      </c>
      <c r="C164" s="3" t="s">
        <v>463</v>
      </c>
      <c r="D164" s="9" t="s">
        <v>464</v>
      </c>
      <c r="E164" s="3" t="s">
        <v>182</v>
      </c>
      <c r="F164" s="4">
        <f>'Memória de Cálculo'!K574</f>
        <v>1</v>
      </c>
      <c r="G164" s="5">
        <v>21.27</v>
      </c>
      <c r="H164" s="5"/>
      <c r="I164" s="5">
        <f t="shared" ref="I164:I165" si="43">ROUND(G164*(1+$I$10),2)</f>
        <v>26.52</v>
      </c>
      <c r="J164" s="5">
        <f t="shared" si="41"/>
        <v>26.52</v>
      </c>
    </row>
    <row r="165" spans="1:10" ht="25.5">
      <c r="A165" s="3" t="s">
        <v>666</v>
      </c>
      <c r="B165" s="3" t="s">
        <v>22</v>
      </c>
      <c r="C165" s="3" t="s">
        <v>465</v>
      </c>
      <c r="D165" s="9" t="s">
        <v>466</v>
      </c>
      <c r="E165" s="3" t="s">
        <v>182</v>
      </c>
      <c r="F165" s="4">
        <f>'Memória de Cálculo'!K576</f>
        <v>3</v>
      </c>
      <c r="G165" s="5">
        <v>13.85</v>
      </c>
      <c r="H165" s="5"/>
      <c r="I165" s="5">
        <f t="shared" si="43"/>
        <v>17.27</v>
      </c>
      <c r="J165" s="5">
        <f t="shared" si="41"/>
        <v>51.81</v>
      </c>
    </row>
    <row r="166" spans="1:10" ht="25.5">
      <c r="A166" s="3" t="s">
        <v>667</v>
      </c>
      <c r="B166" s="3" t="s">
        <v>22</v>
      </c>
      <c r="C166" s="3" t="s">
        <v>298</v>
      </c>
      <c r="D166" s="9" t="s">
        <v>299</v>
      </c>
      <c r="E166" s="3" t="s">
        <v>182</v>
      </c>
      <c r="F166" s="4">
        <f>'Memória de Cálculo'!K578</f>
        <v>3</v>
      </c>
      <c r="G166" s="5">
        <v>13.07</v>
      </c>
      <c r="H166" s="5"/>
      <c r="I166" s="5">
        <f t="shared" ref="I166:I167" si="44">ROUND(G166*(1+$I$10),2)</f>
        <v>16.3</v>
      </c>
      <c r="J166" s="5">
        <f t="shared" si="41"/>
        <v>48.9</v>
      </c>
    </row>
    <row r="167" spans="1:10" ht="25.5">
      <c r="A167" s="3" t="s">
        <v>668</v>
      </c>
      <c r="B167" s="3" t="s">
        <v>22</v>
      </c>
      <c r="C167" s="3" t="s">
        <v>282</v>
      </c>
      <c r="D167" s="9" t="s">
        <v>283</v>
      </c>
      <c r="E167" s="3" t="s">
        <v>182</v>
      </c>
      <c r="F167" s="4">
        <f>'Memória de Cálculo'!K580</f>
        <v>1</v>
      </c>
      <c r="G167" s="5">
        <v>9.4499999999999993</v>
      </c>
      <c r="H167" s="5"/>
      <c r="I167" s="5">
        <f t="shared" si="44"/>
        <v>11.78</v>
      </c>
      <c r="J167" s="5">
        <f t="shared" si="41"/>
        <v>11.78</v>
      </c>
    </row>
    <row r="168" spans="1:10" ht="25.5">
      <c r="A168" s="3" t="s">
        <v>669</v>
      </c>
      <c r="B168" s="3" t="s">
        <v>22</v>
      </c>
      <c r="C168" s="3" t="s">
        <v>467</v>
      </c>
      <c r="D168" s="9" t="s">
        <v>468</v>
      </c>
      <c r="E168" s="3" t="s">
        <v>182</v>
      </c>
      <c r="F168" s="4">
        <f>'Memória de Cálculo'!K582</f>
        <v>6</v>
      </c>
      <c r="G168" s="5">
        <v>8.7100000000000009</v>
      </c>
      <c r="H168" s="5"/>
      <c r="I168" s="5">
        <f t="shared" ref="I168:I169" si="45">ROUND(G168*(1+$I$10),2)</f>
        <v>10.86</v>
      </c>
      <c r="J168" s="5">
        <f t="shared" si="41"/>
        <v>65.16</v>
      </c>
    </row>
    <row r="169" spans="1:10" ht="38.25">
      <c r="A169" s="3" t="s">
        <v>670</v>
      </c>
      <c r="B169" s="3" t="s">
        <v>22</v>
      </c>
      <c r="C169" s="3" t="s">
        <v>280</v>
      </c>
      <c r="D169" s="9" t="s">
        <v>281</v>
      </c>
      <c r="E169" s="3" t="s">
        <v>182</v>
      </c>
      <c r="F169" s="4">
        <f>'Memória de Cálculo'!K584</f>
        <v>4</v>
      </c>
      <c r="G169" s="5">
        <v>13.77</v>
      </c>
      <c r="H169" s="5"/>
      <c r="I169" s="5">
        <f t="shared" si="45"/>
        <v>17.170000000000002</v>
      </c>
      <c r="J169" s="5">
        <f t="shared" si="41"/>
        <v>68.680000000000007</v>
      </c>
    </row>
    <row r="170" spans="1:10" ht="25.5">
      <c r="A170" s="3" t="s">
        <v>671</v>
      </c>
      <c r="B170" s="3" t="s">
        <v>22</v>
      </c>
      <c r="C170" s="3" t="s">
        <v>469</v>
      </c>
      <c r="D170" s="9" t="s">
        <v>470</v>
      </c>
      <c r="E170" s="3" t="s">
        <v>182</v>
      </c>
      <c r="F170" s="4">
        <f>'Memória de Cálculo'!K586</f>
        <v>1</v>
      </c>
      <c r="G170" s="5">
        <v>15.89</v>
      </c>
      <c r="H170" s="5"/>
      <c r="I170" s="5">
        <f t="shared" ref="I170:I174" si="46">ROUND(G170*(1+$I$10),2)</f>
        <v>19.809999999999999</v>
      </c>
      <c r="J170" s="5">
        <f t="shared" si="41"/>
        <v>19.809999999999999</v>
      </c>
    </row>
    <row r="171" spans="1:10" ht="30" customHeight="1">
      <c r="A171" s="3" t="s">
        <v>672</v>
      </c>
      <c r="B171" s="3" t="s">
        <v>22</v>
      </c>
      <c r="C171" s="3" t="s">
        <v>471</v>
      </c>
      <c r="D171" s="9" t="s">
        <v>472</v>
      </c>
      <c r="E171" s="3" t="s">
        <v>182</v>
      </c>
      <c r="F171" s="4">
        <f>'Memória de Cálculo'!K588</f>
        <v>1</v>
      </c>
      <c r="G171" s="5">
        <v>10.61</v>
      </c>
      <c r="H171" s="5"/>
      <c r="I171" s="5">
        <f t="shared" si="46"/>
        <v>13.23</v>
      </c>
      <c r="J171" s="5">
        <f t="shared" si="41"/>
        <v>13.23</v>
      </c>
    </row>
    <row r="172" spans="1:10" ht="30" customHeight="1">
      <c r="A172" s="3" t="s">
        <v>673</v>
      </c>
      <c r="B172" s="3" t="s">
        <v>22</v>
      </c>
      <c r="C172" s="3" t="s">
        <v>473</v>
      </c>
      <c r="D172" s="9" t="s">
        <v>474</v>
      </c>
      <c r="E172" s="3" t="s">
        <v>182</v>
      </c>
      <c r="F172" s="4">
        <f>'Memória de Cálculo'!K590</f>
        <v>2</v>
      </c>
      <c r="G172" s="5">
        <v>7.82</v>
      </c>
      <c r="H172" s="5"/>
      <c r="I172" s="5">
        <f t="shared" si="46"/>
        <v>9.75</v>
      </c>
      <c r="J172" s="5">
        <f t="shared" si="41"/>
        <v>19.5</v>
      </c>
    </row>
    <row r="173" spans="1:10" ht="30" customHeight="1">
      <c r="A173" s="3" t="s">
        <v>674</v>
      </c>
      <c r="B173" s="3" t="s">
        <v>22</v>
      </c>
      <c r="C173" s="3" t="s">
        <v>475</v>
      </c>
      <c r="D173" s="9" t="s">
        <v>476</v>
      </c>
      <c r="E173" s="3" t="s">
        <v>182</v>
      </c>
      <c r="F173" s="4">
        <f>'Memória de Cálculo'!K592</f>
        <v>4</v>
      </c>
      <c r="G173" s="5">
        <v>12.18</v>
      </c>
      <c r="H173" s="5"/>
      <c r="I173" s="5">
        <f t="shared" si="46"/>
        <v>15.19</v>
      </c>
      <c r="J173" s="5">
        <f t="shared" si="41"/>
        <v>60.76</v>
      </c>
    </row>
    <row r="174" spans="1:10" ht="30" customHeight="1">
      <c r="A174" s="3" t="s">
        <v>675</v>
      </c>
      <c r="B174" s="3" t="s">
        <v>22</v>
      </c>
      <c r="C174" s="3" t="s">
        <v>477</v>
      </c>
      <c r="D174" s="9" t="s">
        <v>478</v>
      </c>
      <c r="E174" s="3" t="s">
        <v>182</v>
      </c>
      <c r="F174" s="4">
        <f>'Memória de Cálculo'!K594</f>
        <v>1</v>
      </c>
      <c r="G174" s="5">
        <v>10.55</v>
      </c>
      <c r="H174" s="5"/>
      <c r="I174" s="5">
        <f t="shared" si="46"/>
        <v>13.16</v>
      </c>
      <c r="J174" s="5">
        <f t="shared" si="41"/>
        <v>13.16</v>
      </c>
    </row>
    <row r="175" spans="1:10" ht="30" customHeight="1">
      <c r="A175" s="3" t="s">
        <v>676</v>
      </c>
      <c r="B175" s="3" t="s">
        <v>22</v>
      </c>
      <c r="C175" s="3" t="s">
        <v>479</v>
      </c>
      <c r="D175" s="9" t="s">
        <v>480</v>
      </c>
      <c r="E175" s="3" t="s">
        <v>182</v>
      </c>
      <c r="F175" s="4">
        <f>'Memória de Cálculo'!K596</f>
        <v>2</v>
      </c>
      <c r="G175" s="5">
        <v>8.5500000000000007</v>
      </c>
      <c r="H175" s="5"/>
      <c r="I175" s="5">
        <f t="shared" ref="I175:I176" si="47">ROUND(G175*(1+$I$10),2)</f>
        <v>10.66</v>
      </c>
      <c r="J175" s="5">
        <f t="shared" si="41"/>
        <v>21.32</v>
      </c>
    </row>
    <row r="176" spans="1:10" ht="30" customHeight="1">
      <c r="A176" s="3" t="s">
        <v>677</v>
      </c>
      <c r="B176" s="3" t="s">
        <v>22</v>
      </c>
      <c r="C176" s="3" t="s">
        <v>481</v>
      </c>
      <c r="D176" s="9" t="s">
        <v>482</v>
      </c>
      <c r="E176" s="3" t="s">
        <v>182</v>
      </c>
      <c r="F176" s="4">
        <f>'Memória de Cálculo'!K598</f>
        <v>1</v>
      </c>
      <c r="G176" s="5">
        <v>6.88</v>
      </c>
      <c r="H176" s="5"/>
      <c r="I176" s="5">
        <f t="shared" si="47"/>
        <v>8.58</v>
      </c>
      <c r="J176" s="5">
        <f t="shared" si="41"/>
        <v>8.58</v>
      </c>
    </row>
    <row r="177" spans="1:10" ht="25.5">
      <c r="A177" s="3" t="s">
        <v>678</v>
      </c>
      <c r="B177" s="3" t="s">
        <v>22</v>
      </c>
      <c r="C177" s="3" t="s">
        <v>483</v>
      </c>
      <c r="D177" s="9" t="s">
        <v>484</v>
      </c>
      <c r="E177" s="3" t="s">
        <v>182</v>
      </c>
      <c r="F177" s="4">
        <f>'Memória de Cálculo'!K600</f>
        <v>1</v>
      </c>
      <c r="G177" s="5">
        <v>43.54</v>
      </c>
      <c r="H177" s="5"/>
      <c r="I177" s="5">
        <f t="shared" ref="I177:I187" si="48">ROUND(G177*(1+$I$10),2)</f>
        <v>54.29</v>
      </c>
      <c r="J177" s="5">
        <f t="shared" si="41"/>
        <v>54.29</v>
      </c>
    </row>
    <row r="178" spans="1:10" ht="25.5">
      <c r="A178" s="3" t="s">
        <v>679</v>
      </c>
      <c r="B178" s="3" t="s">
        <v>22</v>
      </c>
      <c r="C178" s="3" t="s">
        <v>284</v>
      </c>
      <c r="D178" s="9" t="s">
        <v>285</v>
      </c>
      <c r="E178" s="3" t="s">
        <v>182</v>
      </c>
      <c r="F178" s="4">
        <f>'Memória de Cálculo'!K602</f>
        <v>1</v>
      </c>
      <c r="G178" s="5">
        <v>31.62</v>
      </c>
      <c r="H178" s="5"/>
      <c r="I178" s="5">
        <f t="shared" ref="I178" si="49">ROUND(G178*(1+$I$10),2)</f>
        <v>39.43</v>
      </c>
      <c r="J178" s="5">
        <f t="shared" si="41"/>
        <v>39.43</v>
      </c>
    </row>
    <row r="179" spans="1:10" ht="25.5">
      <c r="A179" s="3" t="s">
        <v>680</v>
      </c>
      <c r="B179" s="3" t="s">
        <v>22</v>
      </c>
      <c r="C179" s="3" t="s">
        <v>485</v>
      </c>
      <c r="D179" s="9" t="s">
        <v>486</v>
      </c>
      <c r="E179" s="3" t="s">
        <v>182</v>
      </c>
      <c r="F179" s="4">
        <f>'Memória de Cálculo'!K604</f>
        <v>1</v>
      </c>
      <c r="G179" s="5">
        <v>18.47</v>
      </c>
      <c r="H179" s="5"/>
      <c r="I179" s="5">
        <f t="shared" si="48"/>
        <v>23.03</v>
      </c>
      <c r="J179" s="5">
        <f t="shared" si="41"/>
        <v>23.03</v>
      </c>
    </row>
    <row r="180" spans="1:10" ht="25.5">
      <c r="A180" s="3" t="s">
        <v>681</v>
      </c>
      <c r="B180" s="3" t="s">
        <v>22</v>
      </c>
      <c r="C180" s="3" t="s">
        <v>487</v>
      </c>
      <c r="D180" s="9" t="s">
        <v>488</v>
      </c>
      <c r="E180" s="3" t="s">
        <v>182</v>
      </c>
      <c r="F180" s="4">
        <f>'Memória de Cálculo'!K606</f>
        <v>2</v>
      </c>
      <c r="G180" s="5">
        <v>251.46</v>
      </c>
      <c r="H180" s="5"/>
      <c r="I180" s="5">
        <f t="shared" si="48"/>
        <v>313.57</v>
      </c>
      <c r="J180" s="5">
        <f t="shared" si="41"/>
        <v>627.14</v>
      </c>
    </row>
    <row r="181" spans="1:10" ht="25.5">
      <c r="A181" s="3" t="s">
        <v>682</v>
      </c>
      <c r="B181" s="3" t="s">
        <v>22</v>
      </c>
      <c r="C181" s="3" t="s">
        <v>489</v>
      </c>
      <c r="D181" s="9" t="s">
        <v>490</v>
      </c>
      <c r="E181" s="3" t="s">
        <v>182</v>
      </c>
      <c r="F181" s="4">
        <f>'Memória de Cálculo'!K608</f>
        <v>1</v>
      </c>
      <c r="G181" s="5">
        <v>135.62</v>
      </c>
      <c r="H181" s="5"/>
      <c r="I181" s="5">
        <f t="shared" si="48"/>
        <v>169.12</v>
      </c>
      <c r="J181" s="5">
        <f t="shared" si="41"/>
        <v>169.12</v>
      </c>
    </row>
    <row r="182" spans="1:10" ht="38.25">
      <c r="A182" s="3" t="s">
        <v>683</v>
      </c>
      <c r="B182" s="3" t="s">
        <v>22</v>
      </c>
      <c r="C182" s="3" t="s">
        <v>491</v>
      </c>
      <c r="D182" s="9" t="s">
        <v>492</v>
      </c>
      <c r="E182" s="3" t="s">
        <v>182</v>
      </c>
      <c r="F182" s="4">
        <f>'Memória de Cálculo'!K610</f>
        <v>1</v>
      </c>
      <c r="G182" s="5">
        <v>37.200000000000003</v>
      </c>
      <c r="H182" s="5"/>
      <c r="I182" s="5">
        <f t="shared" si="48"/>
        <v>46.39</v>
      </c>
      <c r="J182" s="5">
        <f t="shared" si="41"/>
        <v>46.39</v>
      </c>
    </row>
    <row r="183" spans="1:10" ht="38.25">
      <c r="A183" s="3" t="s">
        <v>684</v>
      </c>
      <c r="B183" s="3" t="s">
        <v>22</v>
      </c>
      <c r="C183" s="3" t="s">
        <v>296</v>
      </c>
      <c r="D183" s="9" t="s">
        <v>297</v>
      </c>
      <c r="E183" s="3" t="s">
        <v>182</v>
      </c>
      <c r="F183" s="4">
        <f>'Memória de Cálculo'!K612</f>
        <v>2</v>
      </c>
      <c r="G183" s="5">
        <v>27.31</v>
      </c>
      <c r="H183" s="5"/>
      <c r="I183" s="5">
        <f t="shared" si="48"/>
        <v>34.06</v>
      </c>
      <c r="J183" s="5">
        <f t="shared" si="41"/>
        <v>68.12</v>
      </c>
    </row>
    <row r="184" spans="1:10" ht="38.25">
      <c r="A184" s="3" t="s">
        <v>685</v>
      </c>
      <c r="B184" s="3" t="s">
        <v>22</v>
      </c>
      <c r="C184" s="3" t="s">
        <v>294</v>
      </c>
      <c r="D184" s="9" t="s">
        <v>295</v>
      </c>
      <c r="E184" s="3" t="s">
        <v>182</v>
      </c>
      <c r="F184" s="4">
        <f>'Memória de Cálculo'!K614</f>
        <v>1</v>
      </c>
      <c r="G184" s="5">
        <v>20.53</v>
      </c>
      <c r="H184" s="5"/>
      <c r="I184" s="5">
        <f t="shared" si="48"/>
        <v>25.6</v>
      </c>
      <c r="J184" s="5">
        <f t="shared" si="41"/>
        <v>25.6</v>
      </c>
    </row>
    <row r="185" spans="1:10" ht="25.5">
      <c r="A185" s="3" t="s">
        <v>686</v>
      </c>
      <c r="B185" s="3" t="s">
        <v>22</v>
      </c>
      <c r="C185" s="3" t="s">
        <v>493</v>
      </c>
      <c r="D185" s="9" t="s">
        <v>494</v>
      </c>
      <c r="E185" s="3" t="s">
        <v>182</v>
      </c>
      <c r="F185" s="4">
        <f>'Memória de Cálculo'!K616</f>
        <v>1</v>
      </c>
      <c r="G185" s="5">
        <v>827.78</v>
      </c>
      <c r="H185" s="5"/>
      <c r="I185" s="5">
        <f t="shared" si="48"/>
        <v>1032.24</v>
      </c>
      <c r="J185" s="5">
        <f t="shared" si="41"/>
        <v>1032.24</v>
      </c>
    </row>
    <row r="186" spans="1:10" ht="25.5">
      <c r="A186" s="3" t="s">
        <v>687</v>
      </c>
      <c r="B186" s="3" t="s">
        <v>22</v>
      </c>
      <c r="C186" s="3" t="s">
        <v>495</v>
      </c>
      <c r="D186" s="9" t="s">
        <v>496</v>
      </c>
      <c r="E186" s="3" t="s">
        <v>182</v>
      </c>
      <c r="F186" s="4">
        <f>'Memória de Cálculo'!K618</f>
        <v>1</v>
      </c>
      <c r="G186" s="5">
        <v>31.61</v>
      </c>
      <c r="H186" s="5"/>
      <c r="I186" s="5">
        <f t="shared" si="48"/>
        <v>39.42</v>
      </c>
      <c r="J186" s="5">
        <f t="shared" si="41"/>
        <v>39.42</v>
      </c>
    </row>
    <row r="187" spans="1:10" ht="25.5">
      <c r="A187" s="3" t="s">
        <v>688</v>
      </c>
      <c r="B187" s="3" t="s">
        <v>22</v>
      </c>
      <c r="C187" s="3" t="s">
        <v>497</v>
      </c>
      <c r="D187" s="9" t="s">
        <v>498</v>
      </c>
      <c r="E187" s="3" t="s">
        <v>11</v>
      </c>
      <c r="F187" s="4">
        <f>'Memória de Cálculo'!K620</f>
        <v>6</v>
      </c>
      <c r="G187" s="5">
        <v>27.46</v>
      </c>
      <c r="H187" s="5"/>
      <c r="I187" s="5">
        <f t="shared" si="48"/>
        <v>34.24</v>
      </c>
      <c r="J187" s="5">
        <f t="shared" si="41"/>
        <v>205.44</v>
      </c>
    </row>
    <row r="188" spans="1:10" ht="25.5">
      <c r="A188" s="3" t="s">
        <v>689</v>
      </c>
      <c r="B188" s="3" t="s">
        <v>22</v>
      </c>
      <c r="C188" s="3" t="s">
        <v>300</v>
      </c>
      <c r="D188" s="9" t="s">
        <v>301</v>
      </c>
      <c r="E188" s="3" t="s">
        <v>11</v>
      </c>
      <c r="F188" s="4">
        <f>'Memória de Cálculo'!K622</f>
        <v>11</v>
      </c>
      <c r="G188" s="5">
        <v>20.11</v>
      </c>
      <c r="H188" s="5"/>
      <c r="I188" s="5">
        <f t="shared" ref="I188:I189" si="50">ROUND(G188*(1+$I$10),2)</f>
        <v>25.08</v>
      </c>
      <c r="J188" s="5">
        <f t="shared" si="41"/>
        <v>275.88</v>
      </c>
    </row>
    <row r="189" spans="1:10" ht="25.5">
      <c r="A189" s="3" t="s">
        <v>690</v>
      </c>
      <c r="B189" s="3" t="s">
        <v>22</v>
      </c>
      <c r="C189" s="3" t="s">
        <v>288</v>
      </c>
      <c r="D189" s="9" t="s">
        <v>289</v>
      </c>
      <c r="E189" s="3" t="s">
        <v>11</v>
      </c>
      <c r="F189" s="4">
        <f>'Memória de Cálculo'!K624</f>
        <v>3.5</v>
      </c>
      <c r="G189" s="5">
        <v>13.25</v>
      </c>
      <c r="H189" s="5"/>
      <c r="I189" s="5">
        <f t="shared" si="50"/>
        <v>16.52</v>
      </c>
      <c r="J189" s="5">
        <f t="shared" si="41"/>
        <v>57.82</v>
      </c>
    </row>
    <row r="190" spans="1:10" ht="25.5">
      <c r="A190" s="3" t="s">
        <v>691</v>
      </c>
      <c r="B190" s="3" t="s">
        <v>22</v>
      </c>
      <c r="C190" s="3" t="s">
        <v>499</v>
      </c>
      <c r="D190" s="9" t="s">
        <v>500</v>
      </c>
      <c r="E190" s="3" t="s">
        <v>11</v>
      </c>
      <c r="F190" s="4">
        <f>'Memória de Cálculo'!K626</f>
        <v>25</v>
      </c>
      <c r="G190" s="5">
        <v>11.53</v>
      </c>
      <c r="H190" s="5"/>
      <c r="I190" s="5">
        <f t="shared" ref="I190:I196" si="51">ROUND(G190*(1+$I$10),2)</f>
        <v>14.38</v>
      </c>
      <c r="J190" s="5">
        <f t="shared" si="41"/>
        <v>359.5</v>
      </c>
    </row>
    <row r="191" spans="1:10" ht="25.5">
      <c r="A191" s="3" t="s">
        <v>692</v>
      </c>
      <c r="B191" s="3" t="s">
        <v>22</v>
      </c>
      <c r="C191" s="3" t="s">
        <v>290</v>
      </c>
      <c r="D191" s="9" t="s">
        <v>291</v>
      </c>
      <c r="E191" s="3" t="s">
        <v>182</v>
      </c>
      <c r="F191" s="4">
        <f>'Memória de Cálculo'!K628</f>
        <v>1</v>
      </c>
      <c r="G191" s="5">
        <v>4.7</v>
      </c>
      <c r="H191" s="5"/>
      <c r="I191" s="5">
        <f t="shared" si="51"/>
        <v>5.86</v>
      </c>
      <c r="J191" s="5">
        <f t="shared" si="41"/>
        <v>5.86</v>
      </c>
    </row>
    <row r="192" spans="1:10" ht="25.5">
      <c r="A192" s="3" t="s">
        <v>693</v>
      </c>
      <c r="B192" s="3" t="s">
        <v>22</v>
      </c>
      <c r="C192" s="3" t="s">
        <v>501</v>
      </c>
      <c r="D192" s="9" t="s">
        <v>502</v>
      </c>
      <c r="E192" s="3" t="s">
        <v>182</v>
      </c>
      <c r="F192" s="4">
        <f>'Memória de Cálculo'!K630</f>
        <v>1</v>
      </c>
      <c r="G192" s="5">
        <v>6</v>
      </c>
      <c r="H192" s="5"/>
      <c r="I192" s="5">
        <f t="shared" si="51"/>
        <v>7.48</v>
      </c>
      <c r="J192" s="5">
        <f t="shared" si="41"/>
        <v>7.48</v>
      </c>
    </row>
    <row r="193" spans="1:10" ht="25.5">
      <c r="A193" s="3" t="s">
        <v>694</v>
      </c>
      <c r="B193" s="3" t="s">
        <v>22</v>
      </c>
      <c r="C193" s="3" t="s">
        <v>292</v>
      </c>
      <c r="D193" s="9" t="s">
        <v>293</v>
      </c>
      <c r="E193" s="3" t="s">
        <v>182</v>
      </c>
      <c r="F193" s="4">
        <f>'Memória de Cálculo'!K632</f>
        <v>2</v>
      </c>
      <c r="G193" s="5">
        <v>5.3</v>
      </c>
      <c r="H193" s="5"/>
      <c r="I193" s="5">
        <f t="shared" si="51"/>
        <v>6.61</v>
      </c>
      <c r="J193" s="5">
        <f t="shared" si="41"/>
        <v>13.22</v>
      </c>
    </row>
    <row r="194" spans="1:10" ht="38.25">
      <c r="A194" s="3" t="s">
        <v>695</v>
      </c>
      <c r="B194" s="3" t="s">
        <v>22</v>
      </c>
      <c r="C194" s="3" t="s">
        <v>286</v>
      </c>
      <c r="D194" s="9" t="s">
        <v>287</v>
      </c>
      <c r="E194" s="3" t="s">
        <v>182</v>
      </c>
      <c r="F194" s="4">
        <f>'Memória de Cálculo'!K634</f>
        <v>1</v>
      </c>
      <c r="G194" s="5">
        <v>199.29</v>
      </c>
      <c r="H194" s="5"/>
      <c r="I194" s="5">
        <f t="shared" si="51"/>
        <v>248.51</v>
      </c>
      <c r="J194" s="5">
        <f t="shared" si="41"/>
        <v>248.51</v>
      </c>
    </row>
    <row r="195" spans="1:10" ht="25.5">
      <c r="A195" s="3" t="s">
        <v>696</v>
      </c>
      <c r="B195" s="3" t="s">
        <v>22</v>
      </c>
      <c r="C195" s="3" t="s">
        <v>495</v>
      </c>
      <c r="D195" s="9" t="s">
        <v>496</v>
      </c>
      <c r="E195" s="3" t="s">
        <v>182</v>
      </c>
      <c r="F195" s="4">
        <f>'Memória de Cálculo'!K636</f>
        <v>1</v>
      </c>
      <c r="G195" s="5">
        <v>31.61</v>
      </c>
      <c r="H195" s="5"/>
      <c r="I195" s="5">
        <f t="shared" si="51"/>
        <v>39.42</v>
      </c>
      <c r="J195" s="5">
        <f t="shared" si="41"/>
        <v>39.42</v>
      </c>
    </row>
    <row r="196" spans="1:10" ht="25.5">
      <c r="A196" s="3" t="s">
        <v>697</v>
      </c>
      <c r="B196" s="3" t="s">
        <v>22</v>
      </c>
      <c r="C196" s="3" t="s">
        <v>503</v>
      </c>
      <c r="D196" s="9" t="s">
        <v>504</v>
      </c>
      <c r="E196" s="3" t="s">
        <v>182</v>
      </c>
      <c r="F196" s="4">
        <f>'Memória de Cálculo'!K638</f>
        <v>2</v>
      </c>
      <c r="G196" s="5">
        <v>25.37</v>
      </c>
      <c r="H196" s="5"/>
      <c r="I196" s="5">
        <f t="shared" si="51"/>
        <v>31.64</v>
      </c>
      <c r="J196" s="5">
        <f t="shared" si="41"/>
        <v>63.28</v>
      </c>
    </row>
    <row r="197" spans="1:10">
      <c r="A197" s="55" t="s">
        <v>698</v>
      </c>
      <c r="B197" s="55"/>
      <c r="C197" s="55"/>
      <c r="D197" s="56" t="s">
        <v>525</v>
      </c>
      <c r="E197" s="55" t="s">
        <v>127</v>
      </c>
      <c r="F197" s="55"/>
      <c r="G197" s="55"/>
      <c r="H197" s="55"/>
      <c r="I197" s="55"/>
      <c r="J197" s="57"/>
    </row>
    <row r="198" spans="1:10">
      <c r="A198" s="55" t="s">
        <v>699</v>
      </c>
      <c r="B198" s="55"/>
      <c r="C198" s="55"/>
      <c r="D198" s="56" t="s">
        <v>279</v>
      </c>
      <c r="E198" s="55" t="s">
        <v>127</v>
      </c>
      <c r="F198" s="55"/>
      <c r="G198" s="55"/>
      <c r="H198" s="55"/>
      <c r="I198" s="55"/>
      <c r="J198" s="57"/>
    </row>
    <row r="199" spans="1:10" ht="38.25">
      <c r="A199" s="3" t="s">
        <v>700</v>
      </c>
      <c r="B199" s="3" t="s">
        <v>22</v>
      </c>
      <c r="C199" s="3" t="s">
        <v>302</v>
      </c>
      <c r="D199" s="9" t="s">
        <v>303</v>
      </c>
      <c r="E199" s="3" t="s">
        <v>182</v>
      </c>
      <c r="F199" s="4">
        <f>'Memória de Cálculo'!K642</f>
        <v>4</v>
      </c>
      <c r="G199" s="5">
        <v>16.45</v>
      </c>
      <c r="H199" s="5"/>
      <c r="I199" s="5">
        <f t="shared" ref="I199:I203" si="52">ROUND(G199*(1+$I$10),2)</f>
        <v>20.51</v>
      </c>
      <c r="J199" s="5">
        <f t="shared" ref="J199:J231" si="53">ROUND(I199*F199,2)</f>
        <v>82.04</v>
      </c>
    </row>
    <row r="200" spans="1:10" ht="38.25">
      <c r="A200" s="3" t="s">
        <v>701</v>
      </c>
      <c r="B200" s="3" t="s">
        <v>22</v>
      </c>
      <c r="C200" s="3" t="s">
        <v>505</v>
      </c>
      <c r="D200" s="9" t="s">
        <v>506</v>
      </c>
      <c r="E200" s="3" t="s">
        <v>182</v>
      </c>
      <c r="F200" s="4">
        <f>'Memória de Cálculo'!K644</f>
        <v>4</v>
      </c>
      <c r="G200" s="5">
        <v>24.65</v>
      </c>
      <c r="H200" s="5"/>
      <c r="I200" s="5">
        <f t="shared" si="52"/>
        <v>30.74</v>
      </c>
      <c r="J200" s="5">
        <f t="shared" si="53"/>
        <v>122.96</v>
      </c>
    </row>
    <row r="201" spans="1:10" ht="38.25">
      <c r="A201" s="3" t="s">
        <v>702</v>
      </c>
      <c r="B201" s="3" t="s">
        <v>22</v>
      </c>
      <c r="C201" s="3" t="s">
        <v>304</v>
      </c>
      <c r="D201" s="9" t="s">
        <v>305</v>
      </c>
      <c r="E201" s="3" t="s">
        <v>182</v>
      </c>
      <c r="F201" s="4">
        <f>'Memória de Cálculo'!K646</f>
        <v>10</v>
      </c>
      <c r="G201" s="5">
        <v>15.68</v>
      </c>
      <c r="H201" s="5"/>
      <c r="I201" s="5">
        <f t="shared" si="52"/>
        <v>19.55</v>
      </c>
      <c r="J201" s="5">
        <f t="shared" si="53"/>
        <v>195.5</v>
      </c>
    </row>
    <row r="202" spans="1:10" ht="38.25">
      <c r="A202" s="3" t="s">
        <v>703</v>
      </c>
      <c r="B202" s="3" t="s">
        <v>22</v>
      </c>
      <c r="C202" s="3" t="s">
        <v>306</v>
      </c>
      <c r="D202" s="9" t="s">
        <v>307</v>
      </c>
      <c r="E202" s="3" t="s">
        <v>182</v>
      </c>
      <c r="F202" s="4">
        <f>'Memória de Cálculo'!K648</f>
        <v>1</v>
      </c>
      <c r="G202" s="5">
        <v>28.79</v>
      </c>
      <c r="H202" s="5"/>
      <c r="I202" s="5">
        <f t="shared" si="52"/>
        <v>35.9</v>
      </c>
      <c r="J202" s="5">
        <f t="shared" si="53"/>
        <v>35.9</v>
      </c>
    </row>
    <row r="203" spans="1:10" ht="38.25">
      <c r="A203" s="3" t="s">
        <v>704</v>
      </c>
      <c r="B203" s="3" t="s">
        <v>22</v>
      </c>
      <c r="C203" s="3" t="s">
        <v>507</v>
      </c>
      <c r="D203" s="9" t="s">
        <v>508</v>
      </c>
      <c r="E203" s="3" t="s">
        <v>182</v>
      </c>
      <c r="F203" s="4">
        <f>'Memória de Cálculo'!K650</f>
        <v>1</v>
      </c>
      <c r="G203" s="5">
        <v>24.55</v>
      </c>
      <c r="H203" s="5"/>
      <c r="I203" s="5">
        <f t="shared" si="52"/>
        <v>30.61</v>
      </c>
      <c r="J203" s="5">
        <f t="shared" si="53"/>
        <v>30.61</v>
      </c>
    </row>
    <row r="204" spans="1:10" ht="38.25">
      <c r="A204" s="3" t="s">
        <v>705</v>
      </c>
      <c r="B204" s="3" t="s">
        <v>22</v>
      </c>
      <c r="C204" s="3" t="s">
        <v>310</v>
      </c>
      <c r="D204" s="9" t="s">
        <v>311</v>
      </c>
      <c r="E204" s="3" t="s">
        <v>182</v>
      </c>
      <c r="F204" s="4">
        <f>'Memória de Cálculo'!K652</f>
        <v>1</v>
      </c>
      <c r="G204" s="5">
        <v>44.74</v>
      </c>
      <c r="H204" s="5"/>
      <c r="I204" s="5">
        <f t="shared" ref="I204:I210" si="54">ROUND(G204*(1+$I$10),2)</f>
        <v>55.79</v>
      </c>
      <c r="J204" s="5">
        <f t="shared" si="53"/>
        <v>55.79</v>
      </c>
    </row>
    <row r="205" spans="1:10" ht="38.25">
      <c r="A205" s="3" t="s">
        <v>706</v>
      </c>
      <c r="B205" s="3" t="s">
        <v>22</v>
      </c>
      <c r="C205" s="3" t="s">
        <v>509</v>
      </c>
      <c r="D205" s="9" t="s">
        <v>510</v>
      </c>
      <c r="E205" s="3" t="s">
        <v>182</v>
      </c>
      <c r="F205" s="4">
        <f>'Memória de Cálculo'!K654</f>
        <v>1</v>
      </c>
      <c r="G205" s="5">
        <v>42.57</v>
      </c>
      <c r="H205" s="5"/>
      <c r="I205" s="5">
        <f t="shared" si="54"/>
        <v>53.08</v>
      </c>
      <c r="J205" s="5">
        <f t="shared" si="53"/>
        <v>53.08</v>
      </c>
    </row>
    <row r="206" spans="1:10" ht="38.25">
      <c r="A206" s="3" t="s">
        <v>707</v>
      </c>
      <c r="B206" s="3" t="s">
        <v>22</v>
      </c>
      <c r="C206" s="3" t="s">
        <v>308</v>
      </c>
      <c r="D206" s="9" t="s">
        <v>309</v>
      </c>
      <c r="E206" s="3" t="s">
        <v>182</v>
      </c>
      <c r="F206" s="4">
        <f>'Memória de Cálculo'!K656</f>
        <v>3</v>
      </c>
      <c r="G206" s="5">
        <v>25.34</v>
      </c>
      <c r="H206" s="5"/>
      <c r="I206" s="5">
        <f t="shared" si="54"/>
        <v>31.6</v>
      </c>
      <c r="J206" s="5">
        <f t="shared" si="53"/>
        <v>94.8</v>
      </c>
    </row>
    <row r="207" spans="1:10" ht="38.25">
      <c r="A207" s="3" t="s">
        <v>708</v>
      </c>
      <c r="B207" s="3" t="s">
        <v>22</v>
      </c>
      <c r="C207" s="3" t="s">
        <v>511</v>
      </c>
      <c r="D207" s="9" t="s">
        <v>512</v>
      </c>
      <c r="E207" s="3" t="s">
        <v>182</v>
      </c>
      <c r="F207" s="4">
        <f>'Memória de Cálculo'!K658</f>
        <v>5</v>
      </c>
      <c r="G207" s="5">
        <v>19.079999999999998</v>
      </c>
      <c r="H207" s="5"/>
      <c r="I207" s="5">
        <f t="shared" si="54"/>
        <v>23.79</v>
      </c>
      <c r="J207" s="5">
        <f t="shared" si="53"/>
        <v>118.95</v>
      </c>
    </row>
    <row r="208" spans="1:10" ht="38.25">
      <c r="A208" s="3" t="s">
        <v>709</v>
      </c>
      <c r="B208" s="3" t="s">
        <v>22</v>
      </c>
      <c r="C208" s="3" t="s">
        <v>513</v>
      </c>
      <c r="D208" s="9" t="s">
        <v>514</v>
      </c>
      <c r="E208" s="3" t="s">
        <v>182</v>
      </c>
      <c r="F208" s="4">
        <f>'Memória de Cálculo'!K660</f>
        <v>4</v>
      </c>
      <c r="G208" s="5">
        <v>16.59</v>
      </c>
      <c r="H208" s="5"/>
      <c r="I208" s="5">
        <f t="shared" si="54"/>
        <v>20.69</v>
      </c>
      <c r="J208" s="5">
        <f t="shared" si="53"/>
        <v>82.76</v>
      </c>
    </row>
    <row r="209" spans="1:10" ht="38.25">
      <c r="A209" s="3" t="s">
        <v>710</v>
      </c>
      <c r="B209" s="3" t="s">
        <v>22</v>
      </c>
      <c r="C209" s="3" t="s">
        <v>515</v>
      </c>
      <c r="D209" s="9" t="s">
        <v>516</v>
      </c>
      <c r="E209" s="3" t="s">
        <v>182</v>
      </c>
      <c r="F209" s="4">
        <f>'Memória de Cálculo'!K662</f>
        <v>16</v>
      </c>
      <c r="G209" s="5">
        <v>21.75</v>
      </c>
      <c r="H209" s="5"/>
      <c r="I209" s="5">
        <f t="shared" si="54"/>
        <v>27.12</v>
      </c>
      <c r="J209" s="5">
        <f t="shared" si="53"/>
        <v>433.92</v>
      </c>
    </row>
    <row r="210" spans="1:10" ht="38.25">
      <c r="A210" s="3" t="s">
        <v>711</v>
      </c>
      <c r="B210" s="3" t="s">
        <v>22</v>
      </c>
      <c r="C210" s="3" t="s">
        <v>320</v>
      </c>
      <c r="D210" s="9" t="s">
        <v>321</v>
      </c>
      <c r="E210" s="3" t="s">
        <v>182</v>
      </c>
      <c r="F210" s="4">
        <f>'Memória de Cálculo'!K664</f>
        <v>2</v>
      </c>
      <c r="G210" s="5">
        <v>50.74</v>
      </c>
      <c r="H210" s="5"/>
      <c r="I210" s="5">
        <f t="shared" si="54"/>
        <v>63.27</v>
      </c>
      <c r="J210" s="5">
        <f t="shared" si="53"/>
        <v>126.54</v>
      </c>
    </row>
    <row r="211" spans="1:10" ht="38.25">
      <c r="A211" s="3" t="s">
        <v>712</v>
      </c>
      <c r="B211" s="3" t="s">
        <v>22</v>
      </c>
      <c r="C211" s="3" t="s">
        <v>517</v>
      </c>
      <c r="D211" s="9" t="s">
        <v>518</v>
      </c>
      <c r="E211" s="3" t="s">
        <v>182</v>
      </c>
      <c r="F211" s="4">
        <f>'Memória de Cálculo'!K666</f>
        <v>1</v>
      </c>
      <c r="G211" s="5">
        <v>11.52</v>
      </c>
      <c r="H211" s="5"/>
      <c r="I211" s="5">
        <f t="shared" ref="I211" si="55">ROUND(G211*(1+$I$10),2)</f>
        <v>14.37</v>
      </c>
      <c r="J211" s="5">
        <f t="shared" si="53"/>
        <v>14.37</v>
      </c>
    </row>
    <row r="212" spans="1:10" ht="38.25">
      <c r="A212" s="3" t="s">
        <v>713</v>
      </c>
      <c r="B212" s="3" t="s">
        <v>22</v>
      </c>
      <c r="C212" s="3" t="s">
        <v>314</v>
      </c>
      <c r="D212" s="9" t="s">
        <v>315</v>
      </c>
      <c r="E212" s="3" t="s">
        <v>11</v>
      </c>
      <c r="F212" s="4">
        <f>'Memória de Cálculo'!K668</f>
        <v>14</v>
      </c>
      <c r="G212" s="5">
        <v>29.41</v>
      </c>
      <c r="H212" s="5"/>
      <c r="I212" s="5">
        <f t="shared" ref="I212:I214" si="56">ROUND(G212*(1+$I$10),2)</f>
        <v>36.67</v>
      </c>
      <c r="J212" s="5">
        <f t="shared" si="53"/>
        <v>513.38</v>
      </c>
    </row>
    <row r="213" spans="1:10" ht="38.25">
      <c r="A213" s="3" t="s">
        <v>714</v>
      </c>
      <c r="B213" s="3" t="s">
        <v>22</v>
      </c>
      <c r="C213" s="3" t="s">
        <v>519</v>
      </c>
      <c r="D213" s="9" t="s">
        <v>520</v>
      </c>
      <c r="E213" s="3" t="s">
        <v>11</v>
      </c>
      <c r="F213" s="4">
        <f>'Memória de Cálculo'!K670</f>
        <v>1</v>
      </c>
      <c r="G213" s="5">
        <v>36.630000000000003</v>
      </c>
      <c r="H213" s="5"/>
      <c r="I213" s="5">
        <f t="shared" si="56"/>
        <v>45.68</v>
      </c>
      <c r="J213" s="5">
        <f t="shared" si="53"/>
        <v>45.68</v>
      </c>
    </row>
    <row r="214" spans="1:10" ht="38.25">
      <c r="A214" s="3" t="s">
        <v>715</v>
      </c>
      <c r="B214" s="3" t="s">
        <v>22</v>
      </c>
      <c r="C214" s="3" t="s">
        <v>316</v>
      </c>
      <c r="D214" s="9" t="s">
        <v>317</v>
      </c>
      <c r="E214" s="3" t="s">
        <v>11</v>
      </c>
      <c r="F214" s="4">
        <f>'Memória de Cálculo'!K672</f>
        <v>16</v>
      </c>
      <c r="G214" s="5">
        <v>40.97</v>
      </c>
      <c r="H214" s="5"/>
      <c r="I214" s="5">
        <f t="shared" si="56"/>
        <v>51.09</v>
      </c>
      <c r="J214" s="5">
        <f t="shared" si="53"/>
        <v>817.44</v>
      </c>
    </row>
    <row r="215" spans="1:10" ht="38.25">
      <c r="A215" s="3" t="s">
        <v>716</v>
      </c>
      <c r="B215" s="3" t="s">
        <v>22</v>
      </c>
      <c r="C215" s="3" t="s">
        <v>312</v>
      </c>
      <c r="D215" s="9" t="s">
        <v>313</v>
      </c>
      <c r="E215" s="3" t="s">
        <v>182</v>
      </c>
      <c r="F215" s="4">
        <f>'Memória de Cálculo'!K674</f>
        <v>1</v>
      </c>
      <c r="G215" s="5">
        <v>11.65</v>
      </c>
      <c r="H215" s="5"/>
      <c r="I215" s="5">
        <f t="shared" ref="I215:I218" si="57">ROUND(G215*(1+$I$10),2)</f>
        <v>14.53</v>
      </c>
      <c r="J215" s="5">
        <f t="shared" si="53"/>
        <v>14.53</v>
      </c>
    </row>
    <row r="216" spans="1:10" ht="25.5">
      <c r="A216" s="3" t="s">
        <v>717</v>
      </c>
      <c r="B216" s="3" t="s">
        <v>22</v>
      </c>
      <c r="C216" s="3" t="s">
        <v>521</v>
      </c>
      <c r="D216" s="9" t="s">
        <v>522</v>
      </c>
      <c r="E216" s="3" t="s">
        <v>182</v>
      </c>
      <c r="F216" s="4">
        <f>'Memória de Cálculo'!K676</f>
        <v>1</v>
      </c>
      <c r="G216" s="5">
        <v>381.42</v>
      </c>
      <c r="H216" s="5"/>
      <c r="I216" s="5">
        <f t="shared" si="57"/>
        <v>475.63</v>
      </c>
      <c r="J216" s="5">
        <f t="shared" si="53"/>
        <v>475.63</v>
      </c>
    </row>
    <row r="217" spans="1:10" ht="38.25">
      <c r="A217" s="3" t="s">
        <v>718</v>
      </c>
      <c r="B217" s="3" t="s">
        <v>22</v>
      </c>
      <c r="C217" s="3" t="s">
        <v>523</v>
      </c>
      <c r="D217" s="9" t="s">
        <v>524</v>
      </c>
      <c r="E217" s="3" t="s">
        <v>182</v>
      </c>
      <c r="F217" s="4">
        <f>'Memória de Cálculo'!K678</f>
        <v>1</v>
      </c>
      <c r="G217" s="5">
        <v>105.74</v>
      </c>
      <c r="H217" s="5"/>
      <c r="I217" s="5">
        <f t="shared" si="57"/>
        <v>131.86000000000001</v>
      </c>
      <c r="J217" s="5">
        <f t="shared" si="53"/>
        <v>131.86000000000001</v>
      </c>
    </row>
    <row r="218" spans="1:10" ht="38.25">
      <c r="A218" s="3" t="s">
        <v>719</v>
      </c>
      <c r="B218" s="3" t="s">
        <v>22</v>
      </c>
      <c r="C218" s="3" t="s">
        <v>318</v>
      </c>
      <c r="D218" s="9" t="s">
        <v>319</v>
      </c>
      <c r="E218" s="3" t="s">
        <v>182</v>
      </c>
      <c r="F218" s="4">
        <f>'Memória de Cálculo'!K680</f>
        <v>1</v>
      </c>
      <c r="G218" s="5">
        <v>603.46</v>
      </c>
      <c r="H218" s="5"/>
      <c r="I218" s="5">
        <f t="shared" si="57"/>
        <v>752.51</v>
      </c>
      <c r="J218" s="5">
        <f t="shared" si="53"/>
        <v>752.51</v>
      </c>
    </row>
    <row r="219" spans="1:10">
      <c r="A219" s="55" t="s">
        <v>720</v>
      </c>
      <c r="B219" s="55"/>
      <c r="C219" s="55"/>
      <c r="D219" s="56" t="s">
        <v>322</v>
      </c>
      <c r="E219" s="55" t="s">
        <v>127</v>
      </c>
      <c r="F219" s="55"/>
      <c r="G219" s="55"/>
      <c r="H219" s="55"/>
      <c r="I219" s="55"/>
      <c r="J219" s="57"/>
    </row>
    <row r="220" spans="1:10" ht="38.25">
      <c r="A220" s="3" t="s">
        <v>721</v>
      </c>
      <c r="B220" s="3" t="s">
        <v>22</v>
      </c>
      <c r="C220" s="3" t="s">
        <v>323</v>
      </c>
      <c r="D220" s="9" t="s">
        <v>324</v>
      </c>
      <c r="E220" s="3" t="s">
        <v>182</v>
      </c>
      <c r="F220" s="4">
        <f>'Memória de Cálculo'!K683</f>
        <v>1</v>
      </c>
      <c r="G220" s="5">
        <v>566.46</v>
      </c>
      <c r="H220" s="5"/>
      <c r="I220" s="5">
        <f t="shared" ref="I220:I223" si="58">ROUND(G220*(1+$I$10),2)</f>
        <v>706.38</v>
      </c>
      <c r="J220" s="5">
        <f t="shared" si="53"/>
        <v>706.38</v>
      </c>
    </row>
    <row r="221" spans="1:10" ht="51">
      <c r="A221" s="3" t="s">
        <v>722</v>
      </c>
      <c r="B221" s="3" t="s">
        <v>22</v>
      </c>
      <c r="C221" s="3" t="s">
        <v>325</v>
      </c>
      <c r="D221" s="9" t="s">
        <v>326</v>
      </c>
      <c r="E221" s="3" t="s">
        <v>182</v>
      </c>
      <c r="F221" s="4">
        <f>'Memória de Cálculo'!K685</f>
        <v>1</v>
      </c>
      <c r="G221" s="5">
        <v>278.10000000000002</v>
      </c>
      <c r="H221" s="5"/>
      <c r="I221" s="5">
        <f t="shared" si="58"/>
        <v>346.79</v>
      </c>
      <c r="J221" s="5">
        <f t="shared" si="53"/>
        <v>346.79</v>
      </c>
    </row>
    <row r="222" spans="1:10" ht="51">
      <c r="A222" s="3" t="s">
        <v>723</v>
      </c>
      <c r="B222" s="3" t="s">
        <v>22</v>
      </c>
      <c r="C222" s="3">
        <v>86933</v>
      </c>
      <c r="D222" s="9" t="s">
        <v>332</v>
      </c>
      <c r="E222" s="3" t="s">
        <v>182</v>
      </c>
      <c r="F222" s="4">
        <f>'Memória de Cálculo'!K687</f>
        <v>1</v>
      </c>
      <c r="G222" s="5">
        <v>458.78</v>
      </c>
      <c r="H222" s="5"/>
      <c r="I222" s="5">
        <f t="shared" si="58"/>
        <v>572.1</v>
      </c>
      <c r="J222" s="5">
        <f t="shared" si="53"/>
        <v>572.1</v>
      </c>
    </row>
    <row r="223" spans="1:10" ht="38.25">
      <c r="A223" s="3" t="s">
        <v>724</v>
      </c>
      <c r="B223" s="3" t="s">
        <v>22</v>
      </c>
      <c r="C223" s="3" t="s">
        <v>327</v>
      </c>
      <c r="D223" s="9" t="s">
        <v>328</v>
      </c>
      <c r="E223" s="3" t="s">
        <v>182</v>
      </c>
      <c r="F223" s="4">
        <f>'Memória de Cálculo'!K689</f>
        <v>1</v>
      </c>
      <c r="G223" s="5">
        <v>636.69000000000005</v>
      </c>
      <c r="H223" s="5"/>
      <c r="I223" s="5">
        <f t="shared" si="58"/>
        <v>793.95</v>
      </c>
      <c r="J223" s="5">
        <f t="shared" si="53"/>
        <v>793.95</v>
      </c>
    </row>
    <row r="224" spans="1:10">
      <c r="A224" s="55">
        <v>10</v>
      </c>
      <c r="B224" s="55"/>
      <c r="C224" s="55"/>
      <c r="D224" s="56" t="s">
        <v>526</v>
      </c>
      <c r="E224" s="55" t="s">
        <v>127</v>
      </c>
      <c r="F224" s="55"/>
      <c r="G224" s="55"/>
      <c r="H224" s="55"/>
      <c r="I224" s="55"/>
      <c r="J224" s="57">
        <f>SUBTOTAL(9,J225:J231)</f>
        <v>730.93</v>
      </c>
    </row>
    <row r="225" spans="1:12" ht="25.5">
      <c r="A225" s="3" t="s">
        <v>725</v>
      </c>
      <c r="B225" s="3" t="s">
        <v>22</v>
      </c>
      <c r="C225" s="3" t="s">
        <v>232</v>
      </c>
      <c r="D225" s="9" t="s">
        <v>233</v>
      </c>
      <c r="E225" s="3" t="s">
        <v>182</v>
      </c>
      <c r="F225" s="4">
        <f>'Memória de Cálculo'!K693</f>
        <v>1</v>
      </c>
      <c r="G225" s="5">
        <v>6.67</v>
      </c>
      <c r="H225" s="5"/>
      <c r="I225" s="5">
        <f t="shared" ref="I225:I231" si="59">ROUND(G225*(1+$I$10),2)</f>
        <v>8.32</v>
      </c>
      <c r="J225" s="5">
        <f t="shared" si="53"/>
        <v>8.32</v>
      </c>
    </row>
    <row r="226" spans="1:12">
      <c r="A226" s="3" t="s">
        <v>726</v>
      </c>
      <c r="B226" s="3" t="s">
        <v>22</v>
      </c>
      <c r="C226" s="3" t="s">
        <v>234</v>
      </c>
      <c r="D226" s="9" t="s">
        <v>235</v>
      </c>
      <c r="E226" s="3" t="s">
        <v>10</v>
      </c>
      <c r="F226" s="4">
        <f>'Memória de Cálculo'!K698</f>
        <v>1.82</v>
      </c>
      <c r="G226" s="5">
        <v>17.850000000000001</v>
      </c>
      <c r="H226" s="5" t="s">
        <v>26</v>
      </c>
      <c r="I226" s="5">
        <f t="shared" si="59"/>
        <v>22.26</v>
      </c>
      <c r="J226" s="5">
        <f t="shared" si="53"/>
        <v>40.51</v>
      </c>
    </row>
    <row r="227" spans="1:12" ht="25.5">
      <c r="A227" s="3" t="s">
        <v>727</v>
      </c>
      <c r="B227" s="3" t="s">
        <v>22</v>
      </c>
      <c r="C227" s="3" t="s">
        <v>236</v>
      </c>
      <c r="D227" s="9" t="s">
        <v>237</v>
      </c>
      <c r="E227" s="3" t="s">
        <v>10</v>
      </c>
      <c r="F227" s="4">
        <f>'Memória de Cálculo'!K703</f>
        <v>9.1199999999999992</v>
      </c>
      <c r="G227" s="5">
        <v>3.55</v>
      </c>
      <c r="H227" s="5"/>
      <c r="I227" s="5">
        <f t="shared" si="59"/>
        <v>4.43</v>
      </c>
      <c r="J227" s="5">
        <f t="shared" si="53"/>
        <v>40.4</v>
      </c>
    </row>
    <row r="228" spans="1:12" ht="25.5">
      <c r="A228" s="3" t="s">
        <v>728</v>
      </c>
      <c r="B228" s="3" t="s">
        <v>22</v>
      </c>
      <c r="C228" s="3" t="s">
        <v>238</v>
      </c>
      <c r="D228" s="9" t="s">
        <v>239</v>
      </c>
      <c r="E228" s="3" t="s">
        <v>10</v>
      </c>
      <c r="F228" s="4">
        <f>'Memória de Cálculo'!K705</f>
        <v>63.61</v>
      </c>
      <c r="G228" s="5">
        <v>5.71</v>
      </c>
      <c r="H228" s="5"/>
      <c r="I228" s="5">
        <f t="shared" si="59"/>
        <v>7.12</v>
      </c>
      <c r="J228" s="5">
        <f t="shared" si="53"/>
        <v>452.9</v>
      </c>
    </row>
    <row r="229" spans="1:12">
      <c r="A229" s="3" t="s">
        <v>729</v>
      </c>
      <c r="B229" s="3" t="s">
        <v>22</v>
      </c>
      <c r="C229" s="3" t="s">
        <v>240</v>
      </c>
      <c r="D229" s="9" t="s">
        <v>241</v>
      </c>
      <c r="E229" s="3" t="s">
        <v>10</v>
      </c>
      <c r="F229" s="4">
        <f>'Memória de Cálculo'!K707</f>
        <v>31.54</v>
      </c>
      <c r="G229" s="5">
        <v>1.06</v>
      </c>
      <c r="H229" s="5"/>
      <c r="I229" s="5">
        <f t="shared" si="59"/>
        <v>1.32</v>
      </c>
      <c r="J229" s="5">
        <f t="shared" si="53"/>
        <v>41.63</v>
      </c>
    </row>
    <row r="230" spans="1:12" ht="25.5">
      <c r="A230" s="3" t="s">
        <v>730</v>
      </c>
      <c r="B230" s="3" t="s">
        <v>22</v>
      </c>
      <c r="C230" s="3" t="s">
        <v>242</v>
      </c>
      <c r="D230" s="9" t="s">
        <v>243</v>
      </c>
      <c r="E230" s="3" t="s">
        <v>10</v>
      </c>
      <c r="F230" s="4">
        <f>'Memória de Cálculo'!K709</f>
        <v>55.37</v>
      </c>
      <c r="G230" s="5">
        <v>1.75</v>
      </c>
      <c r="H230" s="5"/>
      <c r="I230" s="5">
        <f t="shared" si="59"/>
        <v>2.1800000000000002</v>
      </c>
      <c r="J230" s="5">
        <f t="shared" si="53"/>
        <v>120.71</v>
      </c>
    </row>
    <row r="231" spans="1:12" ht="25.5">
      <c r="A231" s="3" t="s">
        <v>731</v>
      </c>
      <c r="B231" s="3" t="s">
        <v>22</v>
      </c>
      <c r="C231" s="3" t="s">
        <v>244</v>
      </c>
      <c r="D231" s="9" t="s">
        <v>245</v>
      </c>
      <c r="E231" s="3" t="s">
        <v>182</v>
      </c>
      <c r="F231" s="4">
        <f>'Memória de Cálculo'!K713</f>
        <v>2</v>
      </c>
      <c r="G231" s="5">
        <v>10.61</v>
      </c>
      <c r="H231" s="5" t="s">
        <v>26</v>
      </c>
      <c r="I231" s="5">
        <f t="shared" si="59"/>
        <v>13.23</v>
      </c>
      <c r="J231" s="5">
        <f t="shared" si="53"/>
        <v>26.46</v>
      </c>
    </row>
    <row r="232" spans="1:12">
      <c r="A232" s="176"/>
      <c r="B232" s="177"/>
      <c r="C232" s="177"/>
      <c r="D232" s="177"/>
      <c r="E232" s="177"/>
      <c r="F232" s="177"/>
      <c r="G232" s="177"/>
      <c r="H232" s="177"/>
      <c r="I232" s="177"/>
      <c r="J232" s="178"/>
    </row>
    <row r="233" spans="1:12" ht="12" customHeight="1">
      <c r="A233" s="179" t="s">
        <v>70</v>
      </c>
      <c r="B233" s="180"/>
      <c r="C233" s="180"/>
      <c r="D233" s="180"/>
      <c r="E233" s="180"/>
      <c r="F233" s="180"/>
      <c r="G233" s="180"/>
      <c r="H233" s="180"/>
      <c r="I233" s="181"/>
      <c r="J233" s="57">
        <f>SUBTOTAL(9,J13:J231)</f>
        <v>216008.5</v>
      </c>
      <c r="L233" s="88"/>
    </row>
    <row r="234" spans="1:12">
      <c r="A234" s="52"/>
      <c r="B234" s="53"/>
      <c r="C234" s="53"/>
      <c r="D234" s="53"/>
      <c r="E234" s="53"/>
      <c r="F234" s="53"/>
      <c r="G234" s="53"/>
      <c r="H234" s="53"/>
      <c r="I234" s="53"/>
      <c r="J234" s="54"/>
    </row>
    <row r="235" spans="1:12" ht="42.75" customHeight="1">
      <c r="A235" s="10"/>
      <c r="B235" s="183"/>
      <c r="C235" s="183"/>
      <c r="D235" s="183"/>
      <c r="E235" s="2"/>
      <c r="G235" s="184" t="s">
        <v>13</v>
      </c>
      <c r="H235" s="184"/>
      <c r="I235" s="184"/>
      <c r="J235" s="11"/>
    </row>
    <row r="236" spans="1:12" ht="18.75" customHeight="1">
      <c r="A236" s="12"/>
      <c r="B236" s="182" t="s">
        <v>86</v>
      </c>
      <c r="C236" s="182"/>
      <c r="D236" s="182"/>
      <c r="E236" s="2"/>
      <c r="G236" s="185" t="s">
        <v>28</v>
      </c>
      <c r="H236" s="185"/>
      <c r="I236" s="185"/>
      <c r="J236" s="11"/>
    </row>
    <row r="237" spans="1:12" ht="31.5" hidden="1" customHeight="1">
      <c r="A237" s="13"/>
      <c r="B237" s="186"/>
      <c r="C237" s="186"/>
      <c r="D237" s="186"/>
      <c r="E237" s="187"/>
      <c r="F237" s="187"/>
      <c r="G237" s="187"/>
      <c r="H237" s="187"/>
      <c r="J237" s="11"/>
    </row>
    <row r="238" spans="1:12" ht="16.5" hidden="1" customHeight="1">
      <c r="A238" s="13"/>
      <c r="B238" s="182" t="s">
        <v>736</v>
      </c>
      <c r="C238" s="182"/>
      <c r="D238" s="182"/>
      <c r="E238" s="2"/>
      <c r="F238" s="2"/>
      <c r="G238" s="2"/>
      <c r="H238" s="2"/>
      <c r="J238" s="11"/>
    </row>
    <row r="239" spans="1:12">
      <c r="A239" s="14"/>
      <c r="B239" s="15"/>
      <c r="C239" s="15"/>
      <c r="D239" s="15"/>
      <c r="E239" s="15"/>
      <c r="F239" s="15"/>
      <c r="G239" s="15"/>
      <c r="H239" s="15"/>
      <c r="I239" s="15"/>
      <c r="J239" s="16"/>
    </row>
    <row r="243" spans="4:4">
      <c r="D243" s="69"/>
    </row>
    <row r="244" spans="4:4">
      <c r="D244" s="69"/>
    </row>
    <row r="245" spans="4:4">
      <c r="D245" s="69"/>
    </row>
    <row r="246" spans="4:4">
      <c r="D246" s="69"/>
    </row>
    <row r="247" spans="4:4">
      <c r="D247" s="69"/>
    </row>
    <row r="248" spans="4:4">
      <c r="D248" s="70"/>
    </row>
  </sheetData>
  <autoFilter ref="B1:B248"/>
  <mergeCells count="26">
    <mergeCell ref="A2:J2"/>
    <mergeCell ref="A4:J4"/>
    <mergeCell ref="A8:D9"/>
    <mergeCell ref="A1:I1"/>
    <mergeCell ref="E9:E10"/>
    <mergeCell ref="F9:F10"/>
    <mergeCell ref="G8:J8"/>
    <mergeCell ref="G9:J9"/>
    <mergeCell ref="I10:J10"/>
    <mergeCell ref="A10:D10"/>
    <mergeCell ref="G6:J6"/>
    <mergeCell ref="G7:J7"/>
    <mergeCell ref="A6:F6"/>
    <mergeCell ref="A7:F7"/>
    <mergeCell ref="A3:J3"/>
    <mergeCell ref="A5:J5"/>
    <mergeCell ref="A232:J232"/>
    <mergeCell ref="A233:I233"/>
    <mergeCell ref="B238:D238"/>
    <mergeCell ref="B235:D235"/>
    <mergeCell ref="G235:I235"/>
    <mergeCell ref="B236:D236"/>
    <mergeCell ref="G236:I236"/>
    <mergeCell ref="B237:D237"/>
    <mergeCell ref="E237:F237"/>
    <mergeCell ref="G237:H237"/>
  </mergeCells>
  <phoneticPr fontId="2" type="noConversion"/>
  <dataValidations count="3">
    <dataValidation type="decimal" operator="greaterThan" allowBlank="1" showErrorMessage="1" error="Apenas números decimais maiores que zero." sqref="H12:I13 F78:G79 G12:G77 G80:G231">
      <formula1>0</formula1>
      <formula2>0</formula2>
    </dataValidation>
    <dataValidation allowBlank="1" showInputMessage="1" showErrorMessage="1" prompt="A entrada de quantidades é feita na coluna AJ se acompanhamento por BM, ou na aba &quot;Memória de Cálculo/PLQ&quot; se acompanhamento por PLE." sqref="F12:F231"/>
    <dataValidation type="list" allowBlank="1" sqref="B12:B231">
      <formula1>"SINAPI,SINAPI-I,SICRO,Composição,Cotação"</formula1>
      <formula2>0</formula2>
    </dataValidation>
  </dataValidations>
  <pageMargins left="0.51181102362204722" right="0.51181102362204722" top="0.78740157480314965" bottom="0.78740157480314965" header="0.31496062992125984" footer="0.31496062992125984"/>
  <pageSetup paperSize="9" scale="96" fitToHeight="0" orientation="landscape" r:id="rId1"/>
  <headerFooter>
    <oddFooter>&amp;R&amp;P</oddFooter>
  </headerFooter>
  <rowBreaks count="13" manualBreakCount="13">
    <brk id="47" max="9" man="1"/>
    <brk id="62" max="9" man="1"/>
    <brk id="77" max="9" man="1"/>
    <brk id="95" max="9" man="1"/>
    <brk id="109" max="9" man="1"/>
    <brk id="127" max="9" man="1"/>
    <brk id="137" max="9" man="1"/>
    <brk id="150" max="9" man="1"/>
    <brk id="165" max="9" man="1"/>
    <brk id="180" max="9" man="1"/>
    <brk id="196" max="9" man="1"/>
    <brk id="208" max="9" man="1"/>
    <brk id="218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20"/>
  <sheetViews>
    <sheetView view="pageBreakPreview" zoomScaleSheetLayoutView="100" workbookViewId="0">
      <selection activeCell="P724" sqref="P724"/>
    </sheetView>
  </sheetViews>
  <sheetFormatPr defaultRowHeight="12.75"/>
  <cols>
    <col min="1" max="1" width="7.28515625" customWidth="1"/>
    <col min="2" max="2" width="10.28515625" customWidth="1"/>
    <col min="4" max="4" width="28" customWidth="1"/>
    <col min="6" max="6" width="4.7109375" customWidth="1"/>
    <col min="8" max="8" width="4.7109375" customWidth="1"/>
    <col min="10" max="10" width="4.7109375" customWidth="1"/>
    <col min="12" max="12" width="4.85546875" hidden="1" customWidth="1"/>
    <col min="13" max="13" width="4.42578125" hidden="1" customWidth="1"/>
    <col min="14" max="14" width="5.140625" hidden="1" customWidth="1"/>
  </cols>
  <sheetData>
    <row r="1" spans="1:11" ht="41.25" customHeight="1">
      <c r="A1" s="236" t="str">
        <f>'Planilha orç.'!A1</f>
        <v xml:space="preserve">MUNICIPIO DE JOÃO MONLEVADE - MG </v>
      </c>
      <c r="B1" s="237"/>
      <c r="C1" s="237"/>
      <c r="D1" s="237"/>
      <c r="E1" s="237"/>
      <c r="F1" s="237"/>
      <c r="G1" s="237"/>
      <c r="H1" s="237"/>
      <c r="I1" s="237"/>
      <c r="J1" s="237"/>
      <c r="K1" s="238"/>
    </row>
    <row r="2" spans="1:11" ht="6" customHeight="1">
      <c r="A2" s="239"/>
      <c r="B2" s="240"/>
      <c r="C2" s="240"/>
      <c r="D2" s="240"/>
      <c r="E2" s="240"/>
      <c r="F2" s="240"/>
      <c r="G2" s="240"/>
      <c r="H2" s="240"/>
      <c r="I2" s="240"/>
      <c r="J2" s="240"/>
      <c r="K2" s="241"/>
    </row>
    <row r="3" spans="1:11" ht="16.5">
      <c r="A3" s="242" t="s">
        <v>75</v>
      </c>
      <c r="B3" s="243"/>
      <c r="C3" s="243"/>
      <c r="D3" s="243"/>
      <c r="E3" s="243"/>
      <c r="F3" s="243"/>
      <c r="G3" s="243"/>
      <c r="H3" s="243"/>
      <c r="I3" s="243"/>
      <c r="J3" s="243"/>
      <c r="K3" s="244"/>
    </row>
    <row r="4" spans="1:11" ht="6" customHeight="1">
      <c r="A4" s="239"/>
      <c r="B4" s="240"/>
      <c r="C4" s="240"/>
      <c r="D4" s="240"/>
      <c r="E4" s="240"/>
      <c r="F4" s="240"/>
      <c r="G4" s="240"/>
      <c r="H4" s="240"/>
      <c r="I4" s="240"/>
      <c r="J4" s="240"/>
      <c r="K4" s="241"/>
    </row>
    <row r="5" spans="1:11" ht="13.5">
      <c r="A5" s="245" t="str">
        <f>'Planilha orç.'!A5</f>
        <v xml:space="preserve">OBRA: OBRAS DE CONSTRUÇÃO DE HABITAÇÃO DE INTERESSE SOCIAL </v>
      </c>
      <c r="B5" s="246"/>
      <c r="C5" s="246"/>
      <c r="D5" s="246"/>
      <c r="E5" s="246"/>
      <c r="F5" s="246"/>
      <c r="G5" s="246"/>
      <c r="H5" s="258" t="str">
        <f>'Planilha orç.'!G7</f>
        <v>DATA: 24/11/2025</v>
      </c>
      <c r="I5" s="259"/>
      <c r="J5" s="259"/>
      <c r="K5" s="260"/>
    </row>
    <row r="6" spans="1:11" ht="13.5">
      <c r="A6" s="250" t="str">
        <f>'Planilha orç.'!A7</f>
        <v>LOCAL: RUA ITAOBIM, S/N, BAIRRO MIRANTE DAS ÁGUAS</v>
      </c>
      <c r="B6" s="251"/>
      <c r="C6" s="251"/>
      <c r="D6" s="251"/>
      <c r="E6" s="251"/>
      <c r="F6" s="251"/>
      <c r="G6" s="251"/>
      <c r="H6" s="251"/>
      <c r="I6" s="251"/>
      <c r="J6" s="251"/>
      <c r="K6" s="252"/>
    </row>
    <row r="7" spans="1:11" ht="13.5">
      <c r="A7" s="245" t="str">
        <f>'Planilha orç.'!A8</f>
        <v>REFERÊNCIA:  SICOR MG 07/2025 - SINAPI 08/2025 NÃO DESONERADA</v>
      </c>
      <c r="B7" s="246"/>
      <c r="C7" s="246"/>
      <c r="D7" s="246"/>
      <c r="E7" s="246"/>
      <c r="F7" s="246"/>
      <c r="G7" s="246"/>
      <c r="H7" s="246"/>
      <c r="I7" s="246"/>
      <c r="J7" s="246"/>
      <c r="K7" s="253"/>
    </row>
    <row r="8" spans="1:11" ht="13.5">
      <c r="A8" s="245" t="str">
        <f>'Planilha orç.'!A10</f>
        <v>PRAZO DE EXECUÇÃO: 4 MESES</v>
      </c>
      <c r="B8" s="246"/>
      <c r="C8" s="246"/>
      <c r="D8" s="246"/>
      <c r="E8" s="246"/>
      <c r="F8" s="246"/>
      <c r="G8" s="246"/>
      <c r="H8" s="246"/>
      <c r="I8" s="246"/>
      <c r="J8" s="246"/>
      <c r="K8" s="253"/>
    </row>
    <row r="9" spans="1:11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6"/>
    </row>
    <row r="10" spans="1:11">
      <c r="A10" s="138" t="s">
        <v>76</v>
      </c>
      <c r="B10" s="257" t="s">
        <v>77</v>
      </c>
      <c r="C10" s="257"/>
      <c r="D10" s="257" t="s">
        <v>78</v>
      </c>
      <c r="E10" s="257"/>
      <c r="F10" s="257"/>
      <c r="G10" s="257"/>
      <c r="H10" s="257"/>
      <c r="I10" s="257"/>
      <c r="J10" s="257"/>
      <c r="K10" s="139" t="s">
        <v>874</v>
      </c>
    </row>
    <row r="11" spans="1:11" ht="6.75" customHeight="1">
      <c r="A11" s="247"/>
      <c r="B11" s="248"/>
      <c r="C11" s="248"/>
      <c r="D11" s="248"/>
      <c r="E11" s="248"/>
      <c r="F11" s="248"/>
      <c r="G11" s="248"/>
      <c r="H11" s="248"/>
      <c r="I11" s="248"/>
      <c r="J11" s="248"/>
      <c r="K11" s="249"/>
    </row>
    <row r="12" spans="1:11" ht="12.75" customHeight="1">
      <c r="A12" s="140"/>
      <c r="B12" s="227" t="str">
        <f>'Planilha orç.'!D12</f>
        <v>OBRA DE EXECUÇÃO DE HABITAÇÃO SOCIAL - ÁREA = 70M²</v>
      </c>
      <c r="C12" s="228"/>
      <c r="D12" s="228"/>
      <c r="E12" s="228"/>
      <c r="F12" s="228"/>
      <c r="G12" s="228"/>
      <c r="H12" s="228"/>
      <c r="I12" s="228"/>
      <c r="J12" s="228"/>
      <c r="K12" s="229"/>
    </row>
    <row r="13" spans="1:11">
      <c r="A13" s="158">
        <f>'Planilha orç.'!A13</f>
        <v>1</v>
      </c>
      <c r="B13" s="230" t="str">
        <f>'Planilha orç.'!D13</f>
        <v>ADMINISTRAÇÃO LOCAL</v>
      </c>
      <c r="C13" s="231"/>
      <c r="D13" s="231"/>
      <c r="E13" s="231"/>
      <c r="F13" s="231"/>
      <c r="G13" s="231"/>
      <c r="H13" s="231"/>
      <c r="I13" s="231"/>
      <c r="J13" s="231"/>
      <c r="K13" s="232"/>
    </row>
    <row r="14" spans="1:11">
      <c r="A14" s="142" t="str">
        <f>'Planilha orç.'!A14</f>
        <v>1.1</v>
      </c>
      <c r="B14" s="78" t="str">
        <f>'Planilha orç.'!B14</f>
        <v>Composição</v>
      </c>
      <c r="C14" s="82" t="str">
        <f>'Planilha orç.'!C14</f>
        <v>CPU-002</v>
      </c>
      <c r="D14" s="219" t="str">
        <f>'Planilha orç.'!D14</f>
        <v>ADMINISTRAÇÃO LOCAL</v>
      </c>
      <c r="E14" s="220"/>
      <c r="F14" s="220"/>
      <c r="G14" s="220"/>
      <c r="H14" s="220"/>
      <c r="I14" s="220"/>
      <c r="J14" s="220"/>
      <c r="K14" s="143" t="str">
        <f>'Planilha orç.'!E14</f>
        <v>MÊS</v>
      </c>
    </row>
    <row r="15" spans="1:11">
      <c r="A15" s="142"/>
      <c r="B15" s="78"/>
      <c r="C15" s="82"/>
      <c r="D15" s="83"/>
      <c r="E15" s="73"/>
      <c r="F15" s="73"/>
      <c r="G15" s="73"/>
      <c r="H15" s="73"/>
      <c r="I15" s="73"/>
      <c r="J15" s="73"/>
      <c r="K15" s="144">
        <v>4</v>
      </c>
    </row>
    <row r="16" spans="1:11" ht="4.5" customHeight="1">
      <c r="A16" s="224"/>
      <c r="B16" s="225"/>
      <c r="C16" s="225"/>
      <c r="D16" s="225"/>
      <c r="E16" s="225"/>
      <c r="F16" s="225"/>
      <c r="G16" s="225"/>
      <c r="H16" s="225"/>
      <c r="I16" s="225"/>
      <c r="J16" s="225"/>
      <c r="K16" s="226"/>
    </row>
    <row r="17" spans="1:11" ht="12.75" customHeight="1">
      <c r="A17" s="158">
        <f>'Planilha orç.'!A15</f>
        <v>2</v>
      </c>
      <c r="B17" s="230" t="str">
        <f>'Planilha orç.'!D15</f>
        <v>SERVIÇOS PRELIMINARES</v>
      </c>
      <c r="C17" s="231"/>
      <c r="D17" s="231"/>
      <c r="E17" s="231"/>
      <c r="F17" s="231"/>
      <c r="G17" s="231"/>
      <c r="H17" s="231"/>
      <c r="I17" s="231"/>
      <c r="J17" s="231"/>
      <c r="K17" s="232"/>
    </row>
    <row r="18" spans="1:11" ht="27" customHeight="1">
      <c r="A18" s="142" t="str">
        <f>'Planilha orç.'!A16</f>
        <v>2.1</v>
      </c>
      <c r="B18" s="78" t="str">
        <f>'Planilha orç.'!B16</f>
        <v>Composição</v>
      </c>
      <c r="C18" s="82" t="str">
        <f>'Planilha orç.'!C16</f>
        <v>CPU-004</v>
      </c>
      <c r="D18" s="219" t="str">
        <f>'Planilha orç.'!D16</f>
        <v>MOBILIZAÇÃO E DESMOBILIZAÇÃO DE OBRA EM CENTRO URBANO OU REGIÃO LIMÍTROFE COM VALOR ATÉ O VALOR DE 1.000.000,00</v>
      </c>
      <c r="E18" s="220"/>
      <c r="F18" s="220"/>
      <c r="G18" s="220"/>
      <c r="H18" s="220"/>
      <c r="I18" s="220"/>
      <c r="J18" s="220"/>
      <c r="K18" s="143" t="str">
        <f>'Planilha orç.'!E16</f>
        <v xml:space="preserve">UN </v>
      </c>
    </row>
    <row r="19" spans="1:11" ht="12.75" customHeight="1">
      <c r="A19" s="147"/>
      <c r="B19" s="78"/>
      <c r="C19" s="79"/>
      <c r="D19" s="84"/>
      <c r="E19" s="84"/>
      <c r="F19" s="84"/>
      <c r="G19" s="84"/>
      <c r="H19" s="84"/>
      <c r="I19" s="84"/>
      <c r="J19" s="84"/>
      <c r="K19" s="143"/>
    </row>
    <row r="20" spans="1:11" ht="4.5" customHeight="1">
      <c r="A20" s="224"/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11" ht="12.75" customHeight="1">
      <c r="A21" s="142" t="str">
        <f>'Planilha orç.'!A17</f>
        <v>2.2</v>
      </c>
      <c r="B21" s="78" t="str">
        <f>'Planilha orç.'!B17</f>
        <v>Composição</v>
      </c>
      <c r="C21" s="82" t="str">
        <f>'Planilha orç.'!C17</f>
        <v>CPU-001</v>
      </c>
      <c r="D21" s="219" t="str">
        <f>'Planilha orç.'!D17</f>
        <v>PLACA DE OBRA EM CHAPA DE ACO GALVANIZADO  CONFORME MANUAL DE PLACAS</v>
      </c>
      <c r="E21" s="220"/>
      <c r="F21" s="220"/>
      <c r="G21" s="220"/>
      <c r="H21" s="220"/>
      <c r="I21" s="220"/>
      <c r="J21" s="220"/>
      <c r="K21" s="143" t="str">
        <f>'Planilha orç.'!E17</f>
        <v>M2</v>
      </c>
    </row>
    <row r="22" spans="1:11" ht="12.75" customHeight="1">
      <c r="A22" s="147"/>
      <c r="B22" s="78"/>
      <c r="C22" s="79"/>
      <c r="D22" s="84"/>
      <c r="E22" s="84"/>
      <c r="F22" s="84"/>
      <c r="G22" s="84" t="s">
        <v>79</v>
      </c>
      <c r="H22" s="84"/>
      <c r="I22" s="84" t="s">
        <v>80</v>
      </c>
      <c r="J22" s="84"/>
      <c r="K22" s="143" t="s">
        <v>81</v>
      </c>
    </row>
    <row r="23" spans="1:11" ht="12.75" customHeight="1">
      <c r="A23" s="147"/>
      <c r="B23" s="78"/>
      <c r="C23" s="79"/>
      <c r="D23" s="84"/>
      <c r="E23" s="84"/>
      <c r="F23" s="84"/>
      <c r="G23" s="84">
        <v>3</v>
      </c>
      <c r="H23" s="84" t="s">
        <v>82</v>
      </c>
      <c r="I23" s="84">
        <v>1.5</v>
      </c>
      <c r="J23" s="84" t="s">
        <v>83</v>
      </c>
      <c r="K23" s="144">
        <f>G23*I23</f>
        <v>4.5</v>
      </c>
    </row>
    <row r="24" spans="1:11" ht="4.5" customHeight="1">
      <c r="A24" s="224"/>
      <c r="B24" s="225"/>
      <c r="C24" s="225"/>
      <c r="D24" s="225"/>
      <c r="E24" s="225"/>
      <c r="F24" s="225"/>
      <c r="G24" s="225"/>
      <c r="H24" s="225"/>
      <c r="I24" s="225"/>
      <c r="J24" s="225"/>
      <c r="K24" s="226"/>
    </row>
    <row r="25" spans="1:11" ht="39" customHeight="1">
      <c r="A25" s="142" t="str">
        <f>'Planilha orç.'!A18</f>
        <v>2.3</v>
      </c>
      <c r="B25" s="78" t="str">
        <f>'Planilha orç.'!B18</f>
        <v>Composição</v>
      </c>
      <c r="C25" s="82" t="str">
        <f>'Planilha orç.'!C18</f>
        <v>CPU-003</v>
      </c>
      <c r="D25" s="219" t="str">
        <f>'Planilha orç.'!D18</f>
        <v>LOCACAO, MOBILIZAÇÃO E DESMOBILIZAÇÃO DE CONTAINER 2,30 X 6,00 M, ALT. 2,50 M, COM 1 SANITARIO, PARA ESCRITORIO, COMPLETO, SEM DIVISORIAS INTERNAS (INCLUI MOBILIZACAO/ DESMOBILIZACAO), NÃO INCLUI LIGAÇÕES PROVISÓRIAS</v>
      </c>
      <c r="E25" s="220"/>
      <c r="F25" s="220"/>
      <c r="G25" s="220"/>
      <c r="H25" s="220"/>
      <c r="I25" s="220"/>
      <c r="J25" s="220"/>
      <c r="K25" s="143" t="str">
        <f>'Planilha orç.'!E18</f>
        <v>MÊS</v>
      </c>
    </row>
    <row r="26" spans="1:11">
      <c r="A26" s="142"/>
      <c r="B26" s="78"/>
      <c r="C26" s="82"/>
      <c r="D26" s="83"/>
      <c r="E26" s="73"/>
      <c r="F26" s="73"/>
      <c r="G26" s="73"/>
      <c r="H26" s="73"/>
      <c r="I26" s="73"/>
      <c r="J26" s="73"/>
      <c r="K26" s="144">
        <v>4</v>
      </c>
    </row>
    <row r="27" spans="1:11" ht="4.5" customHeight="1">
      <c r="A27" s="224"/>
      <c r="B27" s="225"/>
      <c r="C27" s="225"/>
      <c r="D27" s="225"/>
      <c r="E27" s="225"/>
      <c r="F27" s="225"/>
      <c r="G27" s="225"/>
      <c r="H27" s="225"/>
      <c r="I27" s="225"/>
      <c r="J27" s="225"/>
      <c r="K27" s="226"/>
    </row>
    <row r="28" spans="1:11" ht="12.75" customHeight="1">
      <c r="A28" s="148">
        <f>'Planilha orç.'!A19</f>
        <v>3</v>
      </c>
      <c r="B28" s="221" t="str">
        <f>'Planilha orç.'!D19</f>
        <v>FUNDAÇÕES</v>
      </c>
      <c r="C28" s="222"/>
      <c r="D28" s="222"/>
      <c r="E28" s="222"/>
      <c r="F28" s="222"/>
      <c r="G28" s="222"/>
      <c r="H28" s="222"/>
      <c r="I28" s="222"/>
      <c r="J28" s="222"/>
      <c r="K28" s="223"/>
    </row>
    <row r="29" spans="1:11">
      <c r="A29" s="142" t="str">
        <f>'Planilha orç.'!A21</f>
        <v>3.1.1</v>
      </c>
      <c r="B29" s="78" t="str">
        <f>'Planilha orç.'!B21</f>
        <v>SINAPI</v>
      </c>
      <c r="C29" s="82" t="str">
        <f>'Planilha orç.'!C21</f>
        <v>93358</v>
      </c>
      <c r="D29" s="219" t="str">
        <f>'Planilha orç.'!D21</f>
        <v>ESCAVAÇÃO MANUAL DE VALA. AF_09/2024</v>
      </c>
      <c r="E29" s="220"/>
      <c r="F29" s="220"/>
      <c r="G29" s="220"/>
      <c r="H29" s="220"/>
      <c r="I29" s="220"/>
      <c r="J29" s="220"/>
      <c r="K29" s="143" t="str">
        <f>'Planilha orç.'!E21</f>
        <v>M3</v>
      </c>
    </row>
    <row r="30" spans="1:11" ht="12.75" customHeight="1">
      <c r="A30" s="147"/>
      <c r="B30" s="78"/>
      <c r="C30" s="84" t="s">
        <v>339</v>
      </c>
      <c r="D30" s="84"/>
      <c r="E30" s="84" t="s">
        <v>84</v>
      </c>
      <c r="F30" s="84"/>
      <c r="G30" s="84" t="s">
        <v>79</v>
      </c>
      <c r="H30" s="84"/>
      <c r="I30" s="84" t="s">
        <v>344</v>
      </c>
      <c r="J30" s="84"/>
      <c r="K30" s="143" t="s">
        <v>81</v>
      </c>
    </row>
    <row r="31" spans="1:11" ht="12.75" customHeight="1">
      <c r="A31" s="147"/>
      <c r="B31" s="78"/>
      <c r="C31" s="84">
        <v>7</v>
      </c>
      <c r="D31" s="84" t="s">
        <v>341</v>
      </c>
      <c r="E31" s="84">
        <v>0.7</v>
      </c>
      <c r="F31" s="86" t="s">
        <v>82</v>
      </c>
      <c r="G31" s="84">
        <v>0.8</v>
      </c>
      <c r="H31" s="84" t="s">
        <v>82</v>
      </c>
      <c r="I31" s="84">
        <v>1.55</v>
      </c>
      <c r="J31" s="86" t="s">
        <v>83</v>
      </c>
      <c r="K31" s="143">
        <f>ROUND(C31*E31*G31*I31,2)</f>
        <v>6.08</v>
      </c>
    </row>
    <row r="32" spans="1:11" ht="12.75" customHeight="1">
      <c r="A32" s="147"/>
      <c r="B32" s="78"/>
      <c r="C32" s="84">
        <v>4</v>
      </c>
      <c r="D32" s="84" t="s">
        <v>342</v>
      </c>
      <c r="E32" s="84">
        <v>0.9</v>
      </c>
      <c r="F32" s="86" t="s">
        <v>82</v>
      </c>
      <c r="G32" s="84">
        <v>1</v>
      </c>
      <c r="H32" s="84" t="s">
        <v>82</v>
      </c>
      <c r="I32" s="84">
        <v>1.55</v>
      </c>
      <c r="J32" s="86" t="s">
        <v>83</v>
      </c>
      <c r="K32" s="143">
        <f t="shared" ref="K32:K33" si="0">ROUND(C32*E32*G32*I32,2)</f>
        <v>5.58</v>
      </c>
    </row>
    <row r="33" spans="1:11" ht="12.75" customHeight="1">
      <c r="A33" s="147"/>
      <c r="B33" s="78"/>
      <c r="C33" s="84">
        <v>2</v>
      </c>
      <c r="D33" s="84" t="s">
        <v>343</v>
      </c>
      <c r="E33" s="84">
        <v>0.7</v>
      </c>
      <c r="F33" s="86" t="s">
        <v>82</v>
      </c>
      <c r="G33" s="84">
        <v>0.9</v>
      </c>
      <c r="H33" s="84" t="s">
        <v>82</v>
      </c>
      <c r="I33" s="84">
        <v>1.55</v>
      </c>
      <c r="J33" s="86" t="s">
        <v>83</v>
      </c>
      <c r="K33" s="143">
        <f t="shared" si="0"/>
        <v>1.95</v>
      </c>
    </row>
    <row r="34" spans="1:11" ht="12.75" customHeight="1">
      <c r="A34" s="147"/>
      <c r="B34" s="78"/>
      <c r="C34" s="79"/>
      <c r="D34" s="84"/>
      <c r="E34" s="84"/>
      <c r="F34" s="84"/>
      <c r="G34" s="84"/>
      <c r="H34" s="84"/>
      <c r="I34" s="84"/>
      <c r="J34" s="84"/>
      <c r="K34" s="144">
        <f>SUM(K31:K33)</f>
        <v>13.61</v>
      </c>
    </row>
    <row r="35" spans="1:11" ht="6" customHeight="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26"/>
    </row>
    <row r="36" spans="1:11" ht="12.75" customHeight="1">
      <c r="A36" s="142" t="str">
        <f>'Planilha orç.'!A22</f>
        <v>3.1.2</v>
      </c>
      <c r="B36" s="78" t="str">
        <f>'Planilha orç.'!B22</f>
        <v>SINAPI</v>
      </c>
      <c r="C36" s="82" t="str">
        <f>'Planilha orç.'!C22</f>
        <v>101616</v>
      </c>
      <c r="D36" s="219" t="str">
        <f>'Planilha orç.'!D22</f>
        <v>PREPARO DE FUNDO DE VALA COM LARGURA MENOR QUE 1,5 M (ACERTO DO SOLO NATURAL). AF_08/2020</v>
      </c>
      <c r="E36" s="220"/>
      <c r="F36" s="220"/>
      <c r="G36" s="220"/>
      <c r="H36" s="220"/>
      <c r="I36" s="220"/>
      <c r="J36" s="220"/>
      <c r="K36" s="143" t="str">
        <f>'Planilha orç.'!E22</f>
        <v>M2</v>
      </c>
    </row>
    <row r="37" spans="1:11" ht="12.75" customHeight="1">
      <c r="A37" s="142"/>
      <c r="B37" s="78"/>
      <c r="C37" s="84" t="s">
        <v>339</v>
      </c>
      <c r="D37" s="84"/>
      <c r="E37" s="84" t="s">
        <v>84</v>
      </c>
      <c r="F37" s="84"/>
      <c r="G37" s="84" t="s">
        <v>79</v>
      </c>
      <c r="H37" s="84"/>
      <c r="I37" s="84" t="s">
        <v>344</v>
      </c>
      <c r="J37" s="84"/>
      <c r="K37" s="143" t="s">
        <v>81</v>
      </c>
    </row>
    <row r="38" spans="1:11" ht="12.75" customHeight="1">
      <c r="A38" s="142"/>
      <c r="B38" s="78"/>
      <c r="C38" s="84">
        <v>7</v>
      </c>
      <c r="D38" s="84" t="s">
        <v>341</v>
      </c>
      <c r="E38" s="84">
        <v>0.7</v>
      </c>
      <c r="F38" s="86" t="s">
        <v>82</v>
      </c>
      <c r="G38" s="84">
        <v>0.8</v>
      </c>
      <c r="H38" s="84"/>
      <c r="I38" s="84"/>
      <c r="J38" s="86" t="s">
        <v>83</v>
      </c>
      <c r="K38" s="143">
        <f>ROUND(C38*E38*G38,2)</f>
        <v>3.92</v>
      </c>
    </row>
    <row r="39" spans="1:11" ht="12.75" customHeight="1">
      <c r="A39" s="142"/>
      <c r="B39" s="78"/>
      <c r="C39" s="84">
        <v>4</v>
      </c>
      <c r="D39" s="84" t="s">
        <v>342</v>
      </c>
      <c r="E39" s="84">
        <v>0.9</v>
      </c>
      <c r="F39" s="86" t="s">
        <v>82</v>
      </c>
      <c r="G39" s="84">
        <v>1</v>
      </c>
      <c r="H39" s="84"/>
      <c r="I39" s="84"/>
      <c r="J39" s="86" t="s">
        <v>83</v>
      </c>
      <c r="K39" s="143">
        <f t="shared" ref="K39:K40" si="1">ROUND(C39*E39*G39,2)</f>
        <v>3.6</v>
      </c>
    </row>
    <row r="40" spans="1:11" ht="12.75" customHeight="1">
      <c r="A40" s="142"/>
      <c r="B40" s="78"/>
      <c r="C40" s="84">
        <v>2</v>
      </c>
      <c r="D40" s="84" t="s">
        <v>343</v>
      </c>
      <c r="E40" s="84">
        <v>0.7</v>
      </c>
      <c r="F40" s="86" t="s">
        <v>82</v>
      </c>
      <c r="G40" s="84">
        <v>0.9</v>
      </c>
      <c r="H40" s="84"/>
      <c r="I40" s="84"/>
      <c r="J40" s="86" t="s">
        <v>83</v>
      </c>
      <c r="K40" s="143">
        <f t="shared" si="1"/>
        <v>1.26</v>
      </c>
    </row>
    <row r="41" spans="1:11" ht="12.75" customHeight="1">
      <c r="A41" s="147"/>
      <c r="B41" s="78"/>
      <c r="C41" s="79"/>
      <c r="D41" s="84"/>
      <c r="E41" s="84"/>
      <c r="F41" s="84"/>
      <c r="G41" s="84"/>
      <c r="H41" s="84"/>
      <c r="I41" s="84"/>
      <c r="J41" s="84"/>
      <c r="K41" s="144">
        <f>SUM(K38:K40)</f>
        <v>8.7799999999999994</v>
      </c>
    </row>
    <row r="42" spans="1:11" ht="27" customHeight="1">
      <c r="A42" s="142" t="str">
        <f>'Planilha orç.'!A23</f>
        <v>3.1.3</v>
      </c>
      <c r="B42" s="78" t="str">
        <f>'Planilha orç.'!B23</f>
        <v>SINAPI</v>
      </c>
      <c r="C42" s="82" t="str">
        <f>'Planilha orç.'!C23</f>
        <v>96619</v>
      </c>
      <c r="D42" s="219" t="str">
        <f>'Planilha orç.'!D23</f>
        <v>LASTRO DE CONCRETO MAGRO, APLICADO EM BLOCOS DE COROAMENTO OU SAPATAS, ESPESSURA DE 5 CM. AF_01/2024</v>
      </c>
      <c r="E42" s="220"/>
      <c r="F42" s="220"/>
      <c r="G42" s="220"/>
      <c r="H42" s="220"/>
      <c r="I42" s="220"/>
      <c r="J42" s="220"/>
      <c r="K42" s="143" t="str">
        <f>'Planilha orç.'!E23</f>
        <v>M2</v>
      </c>
    </row>
    <row r="43" spans="1:11" ht="12.75" customHeight="1">
      <c r="A43" s="142"/>
      <c r="B43" s="78"/>
      <c r="C43" s="84" t="s">
        <v>339</v>
      </c>
      <c r="D43" s="84"/>
      <c r="E43" s="84" t="s">
        <v>84</v>
      </c>
      <c r="F43" s="84"/>
      <c r="G43" s="84" t="s">
        <v>79</v>
      </c>
      <c r="H43" s="84"/>
      <c r="I43" s="84" t="s">
        <v>344</v>
      </c>
      <c r="J43" s="84"/>
      <c r="K43" s="143" t="s">
        <v>81</v>
      </c>
    </row>
    <row r="44" spans="1:11" ht="12.75" customHeight="1">
      <c r="A44" s="142"/>
      <c r="B44" s="78"/>
      <c r="C44" s="84">
        <v>7</v>
      </c>
      <c r="D44" s="84" t="s">
        <v>341</v>
      </c>
      <c r="E44" s="84">
        <v>0.7</v>
      </c>
      <c r="F44" s="86" t="s">
        <v>82</v>
      </c>
      <c r="G44" s="84">
        <v>0.8</v>
      </c>
      <c r="H44" s="84"/>
      <c r="I44" s="84"/>
      <c r="J44" s="86" t="s">
        <v>83</v>
      </c>
      <c r="K44" s="143">
        <f>ROUND(C44*E44*G44,2)</f>
        <v>3.92</v>
      </c>
    </row>
    <row r="45" spans="1:11" ht="12.75" customHeight="1">
      <c r="A45" s="142"/>
      <c r="B45" s="78"/>
      <c r="C45" s="84">
        <v>4</v>
      </c>
      <c r="D45" s="84" t="s">
        <v>342</v>
      </c>
      <c r="E45" s="84">
        <v>0.9</v>
      </c>
      <c r="F45" s="86" t="s">
        <v>82</v>
      </c>
      <c r="G45" s="84">
        <v>1</v>
      </c>
      <c r="H45" s="84"/>
      <c r="I45" s="84"/>
      <c r="J45" s="86" t="s">
        <v>83</v>
      </c>
      <c r="K45" s="143">
        <f t="shared" ref="K45:K46" si="2">ROUND(C45*E45*G45,2)</f>
        <v>3.6</v>
      </c>
    </row>
    <row r="46" spans="1:11" ht="12.75" customHeight="1">
      <c r="A46" s="142"/>
      <c r="B46" s="78"/>
      <c r="C46" s="84">
        <v>2</v>
      </c>
      <c r="D46" s="84" t="s">
        <v>343</v>
      </c>
      <c r="E46" s="84">
        <v>0.7</v>
      </c>
      <c r="F46" s="86" t="s">
        <v>82</v>
      </c>
      <c r="G46" s="84">
        <v>0.9</v>
      </c>
      <c r="H46" s="84"/>
      <c r="I46" s="84"/>
      <c r="J46" s="86" t="s">
        <v>83</v>
      </c>
      <c r="K46" s="143">
        <f t="shared" si="2"/>
        <v>1.26</v>
      </c>
    </row>
    <row r="47" spans="1:11" ht="12.75" customHeight="1">
      <c r="A47" s="147"/>
      <c r="B47" s="78"/>
      <c r="C47" s="79"/>
      <c r="D47" s="84"/>
      <c r="E47" s="84"/>
      <c r="F47" s="84"/>
      <c r="G47" s="84"/>
      <c r="H47" s="84"/>
      <c r="I47" s="84"/>
      <c r="J47" s="84"/>
      <c r="K47" s="144">
        <f>SUM(K44:K46)</f>
        <v>8.7799999999999994</v>
      </c>
    </row>
    <row r="48" spans="1:11" ht="25.5" customHeight="1">
      <c r="A48" s="142" t="str">
        <f>'Planilha orç.'!A24</f>
        <v>3.1.4</v>
      </c>
      <c r="B48" s="78" t="str">
        <f>'Planilha orç.'!B24</f>
        <v>SINAPI</v>
      </c>
      <c r="C48" s="82" t="str">
        <f>'Planilha orç.'!C24</f>
        <v>96541</v>
      </c>
      <c r="D48" s="219" t="str">
        <f>'Planilha orç.'!D24</f>
        <v>FABRICAÇÃO, MONTAGEM E DESMONTAGEM DE FÔRMA PARA SAPATA, EM CHAPA DE MADEIRA COMPENSADA RESINADA, E=17 MM, 4 UTILIZAÇÕES. AF_01/2024</v>
      </c>
      <c r="E48" s="220"/>
      <c r="F48" s="220"/>
      <c r="G48" s="220"/>
      <c r="H48" s="220"/>
      <c r="I48" s="220"/>
      <c r="J48" s="220"/>
      <c r="K48" s="143" t="str">
        <f>'Planilha orç.'!E24</f>
        <v>M2</v>
      </c>
    </row>
    <row r="49" spans="1:11" ht="12.75" customHeight="1">
      <c r="A49" s="142"/>
      <c r="B49" s="78" t="s">
        <v>351</v>
      </c>
      <c r="C49" s="82"/>
      <c r="D49" s="83" t="s">
        <v>350</v>
      </c>
      <c r="E49" s="73"/>
      <c r="F49" s="73"/>
      <c r="G49" s="73"/>
      <c r="H49" s="73"/>
      <c r="I49" s="73"/>
      <c r="J49" s="73"/>
      <c r="K49" s="143">
        <v>10.7</v>
      </c>
    </row>
    <row r="50" spans="1:11" ht="12.75" customHeight="1">
      <c r="A50" s="142"/>
      <c r="B50" s="78" t="s">
        <v>351</v>
      </c>
      <c r="C50" s="82"/>
      <c r="D50" s="83" t="s">
        <v>345</v>
      </c>
      <c r="E50" s="73"/>
      <c r="F50" s="73"/>
      <c r="G50" s="73"/>
      <c r="H50" s="73"/>
      <c r="I50" s="73"/>
      <c r="J50" s="73"/>
      <c r="K50" s="143">
        <v>15.9</v>
      </c>
    </row>
    <row r="51" spans="1:11" ht="12.75" customHeight="1">
      <c r="A51" s="147"/>
      <c r="B51" s="78"/>
      <c r="C51" s="79"/>
      <c r="D51" s="84"/>
      <c r="E51" s="84"/>
      <c r="F51" s="84"/>
      <c r="G51" s="84"/>
      <c r="H51" s="84"/>
      <c r="I51" s="84"/>
      <c r="J51" s="84"/>
      <c r="K51" s="144">
        <f>SUM(K49:K50)</f>
        <v>26.6</v>
      </c>
    </row>
    <row r="52" spans="1:11" ht="25.5" customHeight="1">
      <c r="A52" s="142" t="str">
        <f>'Planilha orç.'!A25</f>
        <v>3.1.5</v>
      </c>
      <c r="B52" s="78" t="str">
        <f>'Planilha orç.'!B25</f>
        <v>SINAPI</v>
      </c>
      <c r="C52" s="82" t="str">
        <f>'Planilha orç.'!C25</f>
        <v>104919</v>
      </c>
      <c r="D52" s="219" t="str">
        <f>'Planilha orç.'!D25</f>
        <v>ARMAÇÃO DE SAPATA ISOLADA, VIGA BALDRAME E SAPATA CORRIDA UTILIZANDO AÇO CA-50 DE 10 MM - MONTAGEM. AF_01/2024</v>
      </c>
      <c r="E52" s="220"/>
      <c r="F52" s="220"/>
      <c r="G52" s="220"/>
      <c r="H52" s="220"/>
      <c r="I52" s="220"/>
      <c r="J52" s="220"/>
      <c r="K52" s="143" t="str">
        <f>'Planilha orç.'!E25</f>
        <v>KG</v>
      </c>
    </row>
    <row r="53" spans="1:11" ht="12.75" customHeight="1">
      <c r="A53" s="142"/>
      <c r="B53" s="78"/>
      <c r="C53" s="82"/>
      <c r="D53" s="83" t="s">
        <v>353</v>
      </c>
      <c r="E53" s="73" t="s">
        <v>79</v>
      </c>
      <c r="F53" s="73"/>
      <c r="G53" s="73" t="s">
        <v>354</v>
      </c>
      <c r="H53" s="73"/>
      <c r="I53" s="73"/>
      <c r="J53" s="73"/>
      <c r="K53" s="143"/>
    </row>
    <row r="54" spans="1:11" ht="12.75" customHeight="1">
      <c r="A54" s="142"/>
      <c r="B54" s="124" t="s">
        <v>362</v>
      </c>
      <c r="C54" s="82"/>
      <c r="D54" s="123">
        <v>105.1</v>
      </c>
      <c r="E54" s="122">
        <f>105.1</f>
        <v>105.1</v>
      </c>
      <c r="F54" s="71" t="s">
        <v>82</v>
      </c>
      <c r="G54" s="73">
        <v>0.61699999999999999</v>
      </c>
      <c r="H54" s="73"/>
      <c r="I54" s="73"/>
      <c r="J54" s="71" t="s">
        <v>83</v>
      </c>
      <c r="K54" s="143">
        <f>E54*G54</f>
        <v>64.849999999999994</v>
      </c>
    </row>
    <row r="55" spans="1:11" ht="12.75" customHeight="1">
      <c r="A55" s="147"/>
      <c r="B55" s="78"/>
      <c r="C55" s="79"/>
      <c r="D55" s="84"/>
      <c r="E55" s="84"/>
      <c r="F55" s="84"/>
      <c r="G55" s="84"/>
      <c r="H55" s="84"/>
      <c r="I55" s="84"/>
      <c r="J55" s="84"/>
      <c r="K55" s="144">
        <f>ROUND(K54,2)</f>
        <v>64.849999999999994</v>
      </c>
    </row>
    <row r="56" spans="1:11" ht="26.25" customHeight="1">
      <c r="A56" s="142" t="str">
        <f>'Planilha orç.'!A26</f>
        <v>3.1.6</v>
      </c>
      <c r="B56" s="78" t="str">
        <f>'Planilha orç.'!B26</f>
        <v>SINAPI</v>
      </c>
      <c r="C56" s="82">
        <f>'Planilha orç.'!C26</f>
        <v>104918</v>
      </c>
      <c r="D56" s="219" t="str">
        <f>'Planilha orç.'!D26</f>
        <v>ARMAÇÃO DE SAPATA ISOLADA, VIGA BALDRAME E SAPATA CORRIDA UTILIZANDO AÇO CA-50 DE 8,0 MM - MONTAGEM. AF_01/2024</v>
      </c>
      <c r="E56" s="220"/>
      <c r="F56" s="220"/>
      <c r="G56" s="220"/>
      <c r="H56" s="220"/>
      <c r="I56" s="220"/>
      <c r="J56" s="220"/>
      <c r="K56" s="143" t="str">
        <f>'Planilha orç.'!E26</f>
        <v>KG</v>
      </c>
    </row>
    <row r="57" spans="1:11" ht="12.75" customHeight="1">
      <c r="A57" s="142"/>
      <c r="B57" s="78"/>
      <c r="C57" s="82"/>
      <c r="D57" s="83" t="s">
        <v>353</v>
      </c>
      <c r="E57" s="73" t="s">
        <v>79</v>
      </c>
      <c r="F57" s="73"/>
      <c r="G57" s="73" t="s">
        <v>354</v>
      </c>
      <c r="H57" s="73"/>
      <c r="I57" s="73"/>
      <c r="J57" s="73"/>
      <c r="K57" s="143"/>
    </row>
    <row r="58" spans="1:11" ht="12.75" customHeight="1">
      <c r="A58" s="142"/>
      <c r="B58" s="78" t="s">
        <v>355</v>
      </c>
      <c r="C58" s="82"/>
      <c r="D58" s="83" t="s">
        <v>356</v>
      </c>
      <c r="E58" s="122">
        <f>37.38+41.58+12.46+13.08+34.88+33.32</f>
        <v>172.7</v>
      </c>
      <c r="F58" s="71" t="s">
        <v>82</v>
      </c>
      <c r="G58" s="73">
        <v>0.39500000000000002</v>
      </c>
      <c r="H58" s="73"/>
      <c r="I58" s="73"/>
      <c r="J58" s="71" t="s">
        <v>83</v>
      </c>
      <c r="K58" s="143">
        <f>E58*G58</f>
        <v>68.22</v>
      </c>
    </row>
    <row r="59" spans="1:11" ht="12.75" customHeight="1">
      <c r="A59" s="147"/>
      <c r="B59" s="78"/>
      <c r="C59" s="79"/>
      <c r="D59" s="84"/>
      <c r="E59" s="84"/>
      <c r="F59" s="84"/>
      <c r="G59" s="84"/>
      <c r="H59" s="84"/>
      <c r="I59" s="84"/>
      <c r="J59" s="84"/>
      <c r="K59" s="144">
        <f>ROUND(K58,2)</f>
        <v>68.22</v>
      </c>
    </row>
    <row r="60" spans="1:11" ht="27" customHeight="1">
      <c r="A60" s="142" t="str">
        <f>'Planilha orç.'!A27</f>
        <v>3.1.7</v>
      </c>
      <c r="B60" s="78" t="str">
        <f>'Planilha orç.'!B27</f>
        <v>SINAPI</v>
      </c>
      <c r="C60" s="82" t="str">
        <f>'Planilha orç.'!C27</f>
        <v>104916</v>
      </c>
      <c r="D60" s="219" t="str">
        <f>'Planilha orç.'!D27</f>
        <v>ARMAÇÃO DE SAPATA ISOLADA, VIGA BALDRAME E SAPATA CORRIDA UTILIZANDO AÇO CA-60 DE 5 MM - MONTAGEM. AF_01/2024</v>
      </c>
      <c r="E60" s="220"/>
      <c r="F60" s="220"/>
      <c r="G60" s="220"/>
      <c r="H60" s="220"/>
      <c r="I60" s="220"/>
      <c r="J60" s="220"/>
      <c r="K60" s="143" t="str">
        <f>'Planilha orç.'!E27</f>
        <v>KG</v>
      </c>
    </row>
    <row r="61" spans="1:11" ht="12.75" customHeight="1">
      <c r="A61" s="142"/>
      <c r="B61" s="78"/>
      <c r="C61" s="82"/>
      <c r="D61" s="83" t="s">
        <v>353</v>
      </c>
      <c r="E61" s="73" t="s">
        <v>79</v>
      </c>
      <c r="F61" s="73"/>
      <c r="G61" s="73" t="s">
        <v>354</v>
      </c>
      <c r="H61" s="73"/>
      <c r="I61" s="73"/>
      <c r="J61" s="73"/>
      <c r="K61" s="143"/>
    </row>
    <row r="62" spans="1:11" ht="12.75" customHeight="1">
      <c r="A62" s="142"/>
      <c r="B62" s="124" t="s">
        <v>360</v>
      </c>
      <c r="C62" s="82"/>
      <c r="D62" s="83" t="s">
        <v>359</v>
      </c>
      <c r="E62" s="122">
        <f>80.85+23.1+46.2</f>
        <v>150.15</v>
      </c>
      <c r="F62" s="71" t="s">
        <v>82</v>
      </c>
      <c r="G62" s="73">
        <v>0.154</v>
      </c>
      <c r="H62" s="73"/>
      <c r="I62" s="73"/>
      <c r="J62" s="71" t="s">
        <v>83</v>
      </c>
      <c r="K62" s="143">
        <f>E62*G62</f>
        <v>23.12</v>
      </c>
    </row>
    <row r="63" spans="1:11" ht="12.75" customHeight="1">
      <c r="A63" s="147"/>
      <c r="B63" s="78"/>
      <c r="C63" s="79"/>
      <c r="D63" s="84"/>
      <c r="E63" s="84"/>
      <c r="F63" s="84"/>
      <c r="G63" s="84"/>
      <c r="H63" s="84"/>
      <c r="I63" s="84"/>
      <c r="J63" s="84"/>
      <c r="K63" s="144">
        <f>ROUND(K62,2)</f>
        <v>23.12</v>
      </c>
    </row>
    <row r="64" spans="1:11" ht="25.5" customHeight="1">
      <c r="A64" s="142" t="str">
        <f>'Planilha orç.'!A28</f>
        <v>3.1.8</v>
      </c>
      <c r="B64" s="78" t="str">
        <f>'Planilha orç.'!B28</f>
        <v>SINAPI</v>
      </c>
      <c r="C64" s="82">
        <f>'Planilha orç.'!C28</f>
        <v>96556</v>
      </c>
      <c r="D64" s="219" t="str">
        <f>'Planilha orç.'!D28</f>
        <v xml:space="preserve">CONCRETAGEM DE SAPATA, FCK 30 MPA, COM USO DE JERICA - LANÇAMENTO, ADENSAMENTO E ACABAMENTO. </v>
      </c>
      <c r="E64" s="220"/>
      <c r="F64" s="220"/>
      <c r="G64" s="220"/>
      <c r="H64" s="220"/>
      <c r="I64" s="220"/>
      <c r="J64" s="220"/>
      <c r="K64" s="143" t="str">
        <f>'Planilha orç.'!E28</f>
        <v>M3</v>
      </c>
    </row>
    <row r="65" spans="1:11" ht="12.75" customHeight="1">
      <c r="A65" s="142"/>
      <c r="B65" s="78" t="s">
        <v>351</v>
      </c>
      <c r="C65" s="82"/>
      <c r="D65" s="83" t="s">
        <v>346</v>
      </c>
      <c r="E65" s="73"/>
      <c r="F65" s="73"/>
      <c r="G65" s="73"/>
      <c r="H65" s="73"/>
      <c r="I65" s="73"/>
      <c r="J65" s="73"/>
      <c r="K65" s="143">
        <v>2.2000000000000002</v>
      </c>
    </row>
    <row r="66" spans="1:11" ht="12.75" customHeight="1">
      <c r="A66" s="142"/>
      <c r="B66" s="78" t="s">
        <v>351</v>
      </c>
      <c r="C66" s="82"/>
      <c r="D66" s="83" t="s">
        <v>345</v>
      </c>
      <c r="E66" s="73"/>
      <c r="F66" s="73"/>
      <c r="G66" s="73"/>
      <c r="H66" s="73"/>
      <c r="I66" s="73"/>
      <c r="J66" s="73"/>
      <c r="K66" s="143">
        <v>0.9</v>
      </c>
    </row>
    <row r="67" spans="1:11" ht="12.75" customHeight="1">
      <c r="A67" s="147"/>
      <c r="B67" s="78"/>
      <c r="C67" s="79"/>
      <c r="D67" s="84"/>
      <c r="E67" s="84"/>
      <c r="F67" s="84"/>
      <c r="G67" s="84"/>
      <c r="H67" s="84"/>
      <c r="I67" s="84"/>
      <c r="J67" s="84"/>
      <c r="K67" s="144">
        <f>SUM(K65:K66)</f>
        <v>3.1</v>
      </c>
    </row>
    <row r="68" spans="1:11" ht="12.75" customHeight="1">
      <c r="A68" s="142" t="str">
        <f>'Planilha orç.'!A29</f>
        <v>3.1.9</v>
      </c>
      <c r="B68" s="78" t="str">
        <f>'Planilha orç.'!B29</f>
        <v>SINAPI</v>
      </c>
      <c r="C68" s="82" t="str">
        <f>'Planilha orç.'!C29</f>
        <v>104737</v>
      </c>
      <c r="D68" s="219" t="str">
        <f>'Planilha orç.'!D29</f>
        <v>REATERRO MANUAL DE VALAS, COM PLACA VIBRATÓRIA. AF_08/2023</v>
      </c>
      <c r="E68" s="220"/>
      <c r="F68" s="220"/>
      <c r="G68" s="220"/>
      <c r="H68" s="220"/>
      <c r="I68" s="220"/>
      <c r="J68" s="220"/>
      <c r="K68" s="143" t="str">
        <f>'Planilha orç.'!E29</f>
        <v>M3</v>
      </c>
    </row>
    <row r="69" spans="1:11" ht="12.75" customHeight="1">
      <c r="A69" s="142"/>
      <c r="B69" s="78"/>
      <c r="C69" s="82"/>
      <c r="D69" s="83"/>
      <c r="E69" s="73" t="s">
        <v>347</v>
      </c>
      <c r="F69" s="73"/>
      <c r="G69" s="73" t="s">
        <v>349</v>
      </c>
      <c r="H69" s="73"/>
      <c r="I69" s="73" t="s">
        <v>348</v>
      </c>
      <c r="J69" s="73"/>
      <c r="K69" s="143"/>
    </row>
    <row r="70" spans="1:11" ht="12.75" customHeight="1">
      <c r="A70" s="142"/>
      <c r="B70" s="78"/>
      <c r="C70" s="82"/>
      <c r="D70" s="83"/>
      <c r="E70" s="87">
        <f>K34</f>
        <v>13.61</v>
      </c>
      <c r="F70" s="71" t="s">
        <v>127</v>
      </c>
      <c r="G70" s="87">
        <f>5*K47/100</f>
        <v>0.44</v>
      </c>
      <c r="H70" s="71" t="s">
        <v>127</v>
      </c>
      <c r="I70" s="87">
        <f>K67</f>
        <v>3.1</v>
      </c>
      <c r="J70" s="71" t="s">
        <v>83</v>
      </c>
      <c r="K70" s="143">
        <f>E70-G70-I70</f>
        <v>10.07</v>
      </c>
    </row>
    <row r="71" spans="1:11" ht="12.75" customHeight="1">
      <c r="A71" s="147"/>
      <c r="B71" s="78"/>
      <c r="C71" s="79"/>
      <c r="D71" s="84"/>
      <c r="E71" s="84"/>
      <c r="F71" s="84"/>
      <c r="G71" s="84"/>
      <c r="H71" s="84"/>
      <c r="I71" s="84"/>
      <c r="J71" s="84"/>
      <c r="K71" s="144">
        <f>K70</f>
        <v>10.07</v>
      </c>
    </row>
    <row r="72" spans="1:11" ht="6" customHeight="1">
      <c r="A72" s="224"/>
      <c r="B72" s="225"/>
      <c r="C72" s="225"/>
      <c r="D72" s="225"/>
      <c r="E72" s="225"/>
      <c r="F72" s="225"/>
      <c r="G72" s="225"/>
      <c r="H72" s="225"/>
      <c r="I72" s="225"/>
      <c r="J72" s="225"/>
      <c r="K72" s="226"/>
    </row>
    <row r="73" spans="1:11" ht="12.75" customHeight="1">
      <c r="A73" s="148" t="str">
        <f>'Planilha orç.'!A30</f>
        <v>3.2</v>
      </c>
      <c r="B73" s="221" t="str">
        <f>'Planilha orç.'!D30</f>
        <v>BALDRAME</v>
      </c>
      <c r="C73" s="222"/>
      <c r="D73" s="222"/>
      <c r="E73" s="222"/>
      <c r="F73" s="222"/>
      <c r="G73" s="222"/>
      <c r="H73" s="222"/>
      <c r="I73" s="222"/>
      <c r="J73" s="222"/>
      <c r="K73" s="223"/>
    </row>
    <row r="74" spans="1:11" ht="25.5" customHeight="1">
      <c r="A74" s="142" t="str">
        <f>'Planilha orç.'!A31</f>
        <v>3.2.1</v>
      </c>
      <c r="B74" s="78" t="str">
        <f>'Planilha orç.'!B31</f>
        <v>SINAPI</v>
      </c>
      <c r="C74" s="82" t="str">
        <f>'Planilha orç.'!C31</f>
        <v>96527</v>
      </c>
      <c r="D74" s="219" t="str">
        <f>'Planilha orç.'!D31</f>
        <v>ESCAVAÇÃO MANUAL PARA VIGA BALDRAME OU SAPATA CORRIDA (INCLUINDO ESCAVAÇÃO PARA COLOCAÇÃO DE FÔRMAS). AF_01/2024</v>
      </c>
      <c r="E74" s="220"/>
      <c r="F74" s="220"/>
      <c r="G74" s="220"/>
      <c r="H74" s="220"/>
      <c r="I74" s="220"/>
      <c r="J74" s="220"/>
      <c r="K74" s="143" t="str">
        <f>'Planilha orç.'!E31</f>
        <v>M3</v>
      </c>
    </row>
    <row r="75" spans="1:11" ht="12.75" customHeight="1">
      <c r="A75" s="142"/>
      <c r="B75" s="78"/>
      <c r="C75" s="84" t="s">
        <v>339</v>
      </c>
      <c r="D75" s="84"/>
      <c r="E75" s="84" t="s">
        <v>84</v>
      </c>
      <c r="F75" s="84"/>
      <c r="G75" s="84" t="s">
        <v>79</v>
      </c>
      <c r="H75" s="84"/>
      <c r="I75" s="84" t="s">
        <v>344</v>
      </c>
      <c r="J75" s="84"/>
      <c r="K75" s="143" t="s">
        <v>81</v>
      </c>
    </row>
    <row r="76" spans="1:11" ht="12.75" customHeight="1">
      <c r="A76" s="142"/>
      <c r="B76" s="78"/>
      <c r="C76" s="84">
        <v>7</v>
      </c>
      <c r="D76" s="84" t="s">
        <v>341</v>
      </c>
      <c r="E76" s="84">
        <v>0.7</v>
      </c>
      <c r="F76" s="86" t="s">
        <v>82</v>
      </c>
      <c r="G76" s="84">
        <v>0.8</v>
      </c>
      <c r="H76" s="84" t="s">
        <v>82</v>
      </c>
      <c r="I76" s="84">
        <v>1.55</v>
      </c>
      <c r="J76" s="86" t="s">
        <v>83</v>
      </c>
      <c r="K76" s="143">
        <f>ROUND(C76*E76*G76*I76,2)</f>
        <v>6.08</v>
      </c>
    </row>
    <row r="77" spans="1:11" ht="12.75" customHeight="1">
      <c r="A77" s="142"/>
      <c r="B77" s="78"/>
      <c r="C77" s="84">
        <v>4</v>
      </c>
      <c r="D77" s="84" t="s">
        <v>342</v>
      </c>
      <c r="E77" s="84">
        <v>0.9</v>
      </c>
      <c r="F77" s="86" t="s">
        <v>82</v>
      </c>
      <c r="G77" s="84">
        <v>1</v>
      </c>
      <c r="H77" s="84" t="s">
        <v>82</v>
      </c>
      <c r="I77" s="84">
        <v>1.55</v>
      </c>
      <c r="J77" s="86" t="s">
        <v>83</v>
      </c>
      <c r="K77" s="143">
        <f t="shared" ref="K77:K78" si="3">ROUND(C77*E77*G77*I77,2)</f>
        <v>5.58</v>
      </c>
    </row>
    <row r="78" spans="1:11" ht="12.75" customHeight="1">
      <c r="A78" s="142"/>
      <c r="B78" s="78"/>
      <c r="C78" s="84">
        <v>2</v>
      </c>
      <c r="D78" s="84" t="s">
        <v>343</v>
      </c>
      <c r="E78" s="84">
        <v>0.7</v>
      </c>
      <c r="F78" s="86" t="s">
        <v>82</v>
      </c>
      <c r="G78" s="84">
        <v>0.9</v>
      </c>
      <c r="H78" s="84" t="s">
        <v>82</v>
      </c>
      <c r="I78" s="84">
        <v>1.55</v>
      </c>
      <c r="J78" s="86" t="s">
        <v>83</v>
      </c>
      <c r="K78" s="143">
        <f t="shared" si="3"/>
        <v>1.95</v>
      </c>
    </row>
    <row r="79" spans="1:11" ht="12.75" customHeight="1">
      <c r="A79" s="147"/>
      <c r="B79" s="78"/>
      <c r="C79" s="79"/>
      <c r="D79" s="84"/>
      <c r="E79" s="84"/>
      <c r="F79" s="84"/>
      <c r="G79" s="84"/>
      <c r="H79" s="84"/>
      <c r="I79" s="84"/>
      <c r="J79" s="84"/>
      <c r="K79" s="144">
        <f>SUM(K76:K78)</f>
        <v>13.61</v>
      </c>
    </row>
    <row r="80" spans="1:11" ht="26.25" customHeight="1">
      <c r="A80" s="142" t="str">
        <f>'Planilha orç.'!A32</f>
        <v>3.2.2</v>
      </c>
      <c r="B80" s="78" t="str">
        <f>'Planilha orç.'!B32</f>
        <v>SINAPI</v>
      </c>
      <c r="C80" s="82" t="str">
        <f>'Planilha orç.'!C32</f>
        <v>96619</v>
      </c>
      <c r="D80" s="219" t="str">
        <f>'Planilha orç.'!D32</f>
        <v>LASTRO DE CONCRETO MAGRO, APLICADO EM BLOCOS DE COROAMENTO OU SAPATAS, ESPESSURA DE 5 CM. AF_01/2024</v>
      </c>
      <c r="E80" s="220"/>
      <c r="F80" s="220"/>
      <c r="G80" s="220"/>
      <c r="H80" s="220"/>
      <c r="I80" s="220"/>
      <c r="J80" s="220"/>
      <c r="K80" s="143" t="str">
        <f>'Planilha orç.'!E32</f>
        <v>M2</v>
      </c>
    </row>
    <row r="81" spans="1:11" ht="12.75" customHeight="1">
      <c r="A81" s="142"/>
      <c r="B81" s="78"/>
      <c r="C81" s="82"/>
      <c r="D81" s="83"/>
      <c r="E81" s="84" t="s">
        <v>84</v>
      </c>
      <c r="F81" s="84"/>
      <c r="G81" s="84" t="s">
        <v>79</v>
      </c>
      <c r="H81" s="84"/>
      <c r="I81" s="84" t="s">
        <v>374</v>
      </c>
      <c r="J81" s="84"/>
      <c r="K81" s="143" t="s">
        <v>81</v>
      </c>
    </row>
    <row r="82" spans="1:11" ht="12.75" customHeight="1">
      <c r="A82" s="142"/>
      <c r="B82" s="78"/>
      <c r="C82" s="82"/>
      <c r="D82" s="83" t="s">
        <v>364</v>
      </c>
      <c r="E82" s="84">
        <v>0.14000000000000001</v>
      </c>
      <c r="F82" s="86" t="s">
        <v>375</v>
      </c>
      <c r="G82" s="84">
        <v>7.36</v>
      </c>
      <c r="H82" s="86" t="s">
        <v>127</v>
      </c>
      <c r="I82" s="84">
        <v>0.3</v>
      </c>
      <c r="J82" s="86" t="s">
        <v>376</v>
      </c>
      <c r="K82" s="143">
        <f>ROUND(E82*G82-I82,2)</f>
        <v>0.73</v>
      </c>
    </row>
    <row r="83" spans="1:11" ht="12.75" customHeight="1">
      <c r="A83" s="142"/>
      <c r="B83" s="78"/>
      <c r="C83" s="82"/>
      <c r="D83" s="83" t="s">
        <v>365</v>
      </c>
      <c r="E83" s="84">
        <v>0.14000000000000001</v>
      </c>
      <c r="F83" s="86" t="s">
        <v>375</v>
      </c>
      <c r="G83" s="84">
        <v>2.88</v>
      </c>
      <c r="H83" s="86" t="s">
        <v>127</v>
      </c>
      <c r="I83" s="84"/>
      <c r="J83" s="86" t="s">
        <v>376</v>
      </c>
      <c r="K83" s="143">
        <f t="shared" ref="K83:K91" si="4">ROUND(E83*G83-I83,2)</f>
        <v>0.4</v>
      </c>
    </row>
    <row r="84" spans="1:11" ht="12.75" customHeight="1">
      <c r="A84" s="142"/>
      <c r="B84" s="78"/>
      <c r="C84" s="82"/>
      <c r="D84" s="83" t="s">
        <v>366</v>
      </c>
      <c r="E84" s="84">
        <v>0.14000000000000001</v>
      </c>
      <c r="F84" s="86" t="s">
        <v>375</v>
      </c>
      <c r="G84" s="84">
        <v>2.75</v>
      </c>
      <c r="H84" s="86" t="s">
        <v>127</v>
      </c>
      <c r="I84" s="84"/>
      <c r="J84" s="86" t="s">
        <v>376</v>
      </c>
      <c r="K84" s="143">
        <f t="shared" si="4"/>
        <v>0.39</v>
      </c>
    </row>
    <row r="85" spans="1:11" ht="12.75" customHeight="1">
      <c r="A85" s="142"/>
      <c r="B85" s="78"/>
      <c r="C85" s="82"/>
      <c r="D85" s="83" t="s">
        <v>367</v>
      </c>
      <c r="E85" s="84">
        <v>0.18</v>
      </c>
      <c r="F85" s="86" t="s">
        <v>375</v>
      </c>
      <c r="G85" s="84">
        <v>7.36</v>
      </c>
      <c r="H85" s="86" t="s">
        <v>127</v>
      </c>
      <c r="I85" s="84">
        <v>0.3</v>
      </c>
      <c r="J85" s="86" t="s">
        <v>376</v>
      </c>
      <c r="K85" s="143">
        <f t="shared" si="4"/>
        <v>1.02</v>
      </c>
    </row>
    <row r="86" spans="1:11" ht="12.75" customHeight="1">
      <c r="A86" s="142"/>
      <c r="B86" s="78"/>
      <c r="C86" s="82"/>
      <c r="D86" s="83" t="s">
        <v>368</v>
      </c>
      <c r="E86" s="84">
        <v>0.14000000000000001</v>
      </c>
      <c r="F86" s="86" t="s">
        <v>375</v>
      </c>
      <c r="G86" s="84">
        <v>3.07</v>
      </c>
      <c r="H86" s="86" t="s">
        <v>127</v>
      </c>
      <c r="I86" s="84"/>
      <c r="J86" s="86" t="s">
        <v>376</v>
      </c>
      <c r="K86" s="143">
        <f t="shared" si="4"/>
        <v>0.43</v>
      </c>
    </row>
    <row r="87" spans="1:11" ht="12.75" customHeight="1">
      <c r="A87" s="142"/>
      <c r="B87" s="78"/>
      <c r="C87" s="82"/>
      <c r="D87" s="83" t="s">
        <v>369</v>
      </c>
      <c r="E87" s="84">
        <v>0.14000000000000001</v>
      </c>
      <c r="F87" s="86" t="s">
        <v>375</v>
      </c>
      <c r="G87" s="84">
        <v>7.25</v>
      </c>
      <c r="H87" s="86" t="s">
        <v>127</v>
      </c>
      <c r="I87" s="84">
        <v>0.3</v>
      </c>
      <c r="J87" s="86" t="s">
        <v>376</v>
      </c>
      <c r="K87" s="143">
        <f t="shared" si="4"/>
        <v>0.72</v>
      </c>
    </row>
    <row r="88" spans="1:11" ht="12.75" customHeight="1">
      <c r="A88" s="142"/>
      <c r="B88" s="78"/>
      <c r="C88" s="82"/>
      <c r="D88" s="83" t="s">
        <v>370</v>
      </c>
      <c r="E88" s="84">
        <v>0.14000000000000001</v>
      </c>
      <c r="F88" s="86" t="s">
        <v>375</v>
      </c>
      <c r="G88" s="84">
        <v>8.4499999999999993</v>
      </c>
      <c r="H88" s="86" t="s">
        <v>127</v>
      </c>
      <c r="I88" s="84">
        <f>0.3*2</f>
        <v>0.6</v>
      </c>
      <c r="J88" s="86" t="s">
        <v>376</v>
      </c>
      <c r="K88" s="143">
        <f t="shared" si="4"/>
        <v>0.57999999999999996</v>
      </c>
    </row>
    <row r="89" spans="1:11" ht="12.75" customHeight="1">
      <c r="A89" s="142"/>
      <c r="B89" s="78"/>
      <c r="C89" s="82"/>
      <c r="D89" s="83" t="s">
        <v>371</v>
      </c>
      <c r="E89" s="84">
        <v>0.14000000000000001</v>
      </c>
      <c r="F89" s="86" t="s">
        <v>375</v>
      </c>
      <c r="G89" s="73">
        <v>5.42</v>
      </c>
      <c r="H89" s="86" t="s">
        <v>127</v>
      </c>
      <c r="I89" s="73">
        <v>0.19</v>
      </c>
      <c r="J89" s="86" t="s">
        <v>376</v>
      </c>
      <c r="K89" s="143">
        <f t="shared" si="4"/>
        <v>0.56999999999999995</v>
      </c>
    </row>
    <row r="90" spans="1:11" ht="12.75" customHeight="1">
      <c r="A90" s="142"/>
      <c r="B90" s="78"/>
      <c r="C90" s="82"/>
      <c r="D90" s="83" t="s">
        <v>372</v>
      </c>
      <c r="E90" s="84">
        <v>0.14000000000000001</v>
      </c>
      <c r="F90" s="86" t="s">
        <v>375</v>
      </c>
      <c r="G90" s="73">
        <v>8.6199999999999992</v>
      </c>
      <c r="H90" s="86" t="s">
        <v>127</v>
      </c>
      <c r="I90" s="84">
        <f>0.19+0.18</f>
        <v>0.37</v>
      </c>
      <c r="J90" s="86" t="s">
        <v>376</v>
      </c>
      <c r="K90" s="143">
        <f t="shared" si="4"/>
        <v>0.84</v>
      </c>
    </row>
    <row r="91" spans="1:11" ht="12.75" customHeight="1">
      <c r="A91" s="142"/>
      <c r="B91" s="78"/>
      <c r="C91" s="82"/>
      <c r="D91" s="83" t="s">
        <v>373</v>
      </c>
      <c r="E91" s="84">
        <v>0.14000000000000001</v>
      </c>
      <c r="F91" s="86" t="s">
        <v>375</v>
      </c>
      <c r="G91" s="73">
        <v>8.35</v>
      </c>
      <c r="H91" s="86" t="s">
        <v>127</v>
      </c>
      <c r="I91" s="73">
        <v>0.6</v>
      </c>
      <c r="J91" s="86" t="s">
        <v>376</v>
      </c>
      <c r="K91" s="143">
        <f t="shared" si="4"/>
        <v>0.56999999999999995</v>
      </c>
    </row>
    <row r="92" spans="1:11" ht="12.75" customHeight="1">
      <c r="A92" s="147"/>
      <c r="B92" s="78"/>
      <c r="C92" s="79"/>
      <c r="D92" s="84"/>
      <c r="E92" s="84"/>
      <c r="F92" s="84"/>
      <c r="G92" s="84"/>
      <c r="H92" s="84"/>
      <c r="I92" s="84"/>
      <c r="J92" s="84"/>
      <c r="K92" s="144">
        <f>SUM(K82:K91)</f>
        <v>6.25</v>
      </c>
    </row>
    <row r="93" spans="1:11" ht="24" customHeight="1">
      <c r="A93" s="142" t="str">
        <f>'Planilha orç.'!A33</f>
        <v>3.2.3</v>
      </c>
      <c r="B93" s="78" t="str">
        <f>'Planilha orç.'!B33</f>
        <v>SINAPI</v>
      </c>
      <c r="C93" s="82" t="str">
        <f>'Planilha orç.'!C33</f>
        <v>96536</v>
      </c>
      <c r="D93" s="219" t="str">
        <f>'Planilha orç.'!D33</f>
        <v>FABRICAÇÃO, MONTAGEM E DESMONTAGEM DE FÔRMA PARA VIGA BALDRAME, EM MADEIRA SERRADA, E=25 MM, 4 UTILIZAÇÕES. AF_01/2024</v>
      </c>
      <c r="E93" s="220"/>
      <c r="F93" s="220"/>
      <c r="G93" s="220"/>
      <c r="H93" s="220"/>
      <c r="I93" s="220"/>
      <c r="J93" s="220"/>
      <c r="K93" s="143" t="str">
        <f>'Planilha orç.'!E33</f>
        <v>M2</v>
      </c>
    </row>
    <row r="94" spans="1:11" ht="12.75" customHeight="1">
      <c r="A94" s="142"/>
      <c r="B94" s="78" t="s">
        <v>351</v>
      </c>
      <c r="C94" s="82"/>
      <c r="D94" s="83" t="s">
        <v>363</v>
      </c>
      <c r="E94" s="73"/>
      <c r="F94" s="73"/>
      <c r="G94" s="73"/>
      <c r="H94" s="73"/>
      <c r="I94" s="73"/>
      <c r="J94" s="73"/>
      <c r="K94" s="143">
        <v>50</v>
      </c>
    </row>
    <row r="95" spans="1:11" ht="12.75" customHeight="1">
      <c r="A95" s="147"/>
      <c r="B95" s="78"/>
      <c r="C95" s="79"/>
      <c r="D95" s="84"/>
      <c r="E95" s="84"/>
      <c r="F95" s="84"/>
      <c r="G95" s="84"/>
      <c r="H95" s="84"/>
      <c r="I95" s="84"/>
      <c r="J95" s="84"/>
      <c r="K95" s="144">
        <f>SUM(K94)</f>
        <v>50</v>
      </c>
    </row>
    <row r="96" spans="1:11" ht="26.25" customHeight="1">
      <c r="A96" s="142" t="str">
        <f>'Planilha orç.'!A34</f>
        <v>3.2.4</v>
      </c>
      <c r="B96" s="78" t="str">
        <f>'Planilha orç.'!B34</f>
        <v>SINAPI</v>
      </c>
      <c r="C96" s="82" t="str">
        <f>'Planilha orç.'!C34</f>
        <v>104918</v>
      </c>
      <c r="D96" s="219" t="str">
        <f>'Planilha orç.'!D34</f>
        <v>ARMAÇÃO DE SAPATA ISOLADA, VIGA BALDRAME E SAPATA CORRIDA UTILIZANDO AÇO CA-50 DE 8 MM - MONTAGEM. AF_01/2024</v>
      </c>
      <c r="E96" s="220"/>
      <c r="F96" s="220"/>
      <c r="G96" s="220"/>
      <c r="H96" s="220"/>
      <c r="I96" s="220"/>
      <c r="J96" s="220"/>
      <c r="K96" s="143" t="str">
        <f>'Planilha orç.'!E34</f>
        <v>KG</v>
      </c>
    </row>
    <row r="97" spans="1:12" ht="12.75" customHeight="1">
      <c r="A97" s="142"/>
      <c r="B97" s="78"/>
      <c r="C97" s="82"/>
      <c r="D97" s="83" t="s">
        <v>353</v>
      </c>
      <c r="E97" s="73" t="s">
        <v>79</v>
      </c>
      <c r="F97" s="73"/>
      <c r="G97" s="73" t="s">
        <v>354</v>
      </c>
      <c r="H97" s="73"/>
      <c r="I97" s="73"/>
      <c r="J97" s="73"/>
      <c r="K97" s="143" t="s">
        <v>81</v>
      </c>
    </row>
    <row r="98" spans="1:12" ht="40.5" customHeight="1">
      <c r="A98" s="142"/>
      <c r="B98" s="78" t="s">
        <v>358</v>
      </c>
      <c r="C98" s="82"/>
      <c r="D98" s="83" t="s">
        <v>357</v>
      </c>
      <c r="E98" s="73">
        <f>15.38+1.6+16.3+6.62+6.98+6.36+6.82+3.09+1.71+15.52+4.04+1.2+16.28+6.58+7.3+15.38+16+17.78+18.3+11.48+12.1+17.96+18.72+35.6+3.78</f>
        <v>282.88</v>
      </c>
      <c r="F98" s="71" t="s">
        <v>82</v>
      </c>
      <c r="G98" s="73">
        <v>0.39500000000000002</v>
      </c>
      <c r="H98" s="73"/>
      <c r="I98" s="73"/>
      <c r="J98" s="71" t="s">
        <v>83</v>
      </c>
      <c r="K98" s="143">
        <f>E98*G98</f>
        <v>111.74</v>
      </c>
    </row>
    <row r="99" spans="1:12" ht="12.75" customHeight="1">
      <c r="A99" s="147"/>
      <c r="B99" s="78"/>
      <c r="C99" s="79"/>
      <c r="D99" s="84"/>
      <c r="E99" s="84"/>
      <c r="F99" s="84"/>
      <c r="G99" s="84"/>
      <c r="H99" s="84"/>
      <c r="I99" s="84"/>
      <c r="J99" s="84"/>
      <c r="K99" s="144">
        <f>ROUND(K98,2)</f>
        <v>111.74</v>
      </c>
      <c r="L99" s="88"/>
    </row>
    <row r="100" spans="1:12" ht="27" customHeight="1">
      <c r="A100" s="142" t="str">
        <f>'Planilha orç.'!A35</f>
        <v>3.2.5</v>
      </c>
      <c r="B100" s="78" t="str">
        <f>'Planilha orç.'!B35</f>
        <v>SINAPI</v>
      </c>
      <c r="C100" s="82" t="str">
        <f>'Planilha orç.'!C35</f>
        <v>104917</v>
      </c>
      <c r="D100" s="219" t="str">
        <f>'Planilha orç.'!D35</f>
        <v>ARMAÇÃO DE SAPATA ISOLADA, VIGA BALDRAME E SAPATA CORRIDA UTILIZANDO AÇO CA-50 DE 6,3 MM - MONTAGEM. AF_01/2024</v>
      </c>
      <c r="E100" s="220"/>
      <c r="F100" s="220"/>
      <c r="G100" s="220"/>
      <c r="H100" s="220"/>
      <c r="I100" s="220"/>
      <c r="J100" s="220"/>
      <c r="K100" s="143" t="str">
        <f>'Planilha orç.'!E35</f>
        <v>KG</v>
      </c>
    </row>
    <row r="101" spans="1:12" ht="12.75" customHeight="1">
      <c r="A101" s="142"/>
      <c r="B101" s="78"/>
      <c r="C101" s="82"/>
      <c r="D101" s="83" t="s">
        <v>353</v>
      </c>
      <c r="E101" s="73" t="s">
        <v>79</v>
      </c>
      <c r="F101" s="73"/>
      <c r="G101" s="73" t="s">
        <v>354</v>
      </c>
      <c r="H101" s="73"/>
      <c r="I101" s="73"/>
      <c r="J101" s="73"/>
      <c r="K101" s="143" t="s">
        <v>81</v>
      </c>
    </row>
    <row r="102" spans="1:12" ht="12.75" customHeight="1">
      <c r="A102" s="142"/>
      <c r="B102" s="78"/>
      <c r="C102" s="82"/>
      <c r="D102" s="122">
        <v>13.24</v>
      </c>
      <c r="E102" s="122">
        <f>D102</f>
        <v>13.24</v>
      </c>
      <c r="F102" s="71" t="s">
        <v>82</v>
      </c>
      <c r="G102" s="73">
        <v>0.254</v>
      </c>
      <c r="H102" s="73"/>
      <c r="I102" s="73"/>
      <c r="J102" s="71" t="s">
        <v>83</v>
      </c>
      <c r="K102" s="143">
        <f>E102*G102</f>
        <v>3.36</v>
      </c>
    </row>
    <row r="103" spans="1:12" ht="12.75" customHeight="1">
      <c r="A103" s="147"/>
      <c r="B103" s="78"/>
      <c r="C103" s="79"/>
      <c r="D103" s="84"/>
      <c r="E103" s="84"/>
      <c r="F103" s="84"/>
      <c r="G103" s="84"/>
      <c r="H103" s="84"/>
      <c r="I103" s="84"/>
      <c r="J103" s="84"/>
      <c r="K103" s="144">
        <f>ROUND(K102,2)</f>
        <v>3.36</v>
      </c>
    </row>
    <row r="104" spans="1:12" ht="26.25" customHeight="1">
      <c r="A104" s="142" t="str">
        <f>'Planilha orç.'!A36</f>
        <v>3.2.6</v>
      </c>
      <c r="B104" s="78" t="str">
        <f>'Planilha orç.'!B36</f>
        <v>SINAPI</v>
      </c>
      <c r="C104" s="82" t="str">
        <f>'Planilha orç.'!C36</f>
        <v>104916</v>
      </c>
      <c r="D104" s="219" t="str">
        <f>'Planilha orç.'!D36</f>
        <v>ARMAÇÃO DE SAPATA ISOLADA, VIGA BALDRAME E SAPATA CORRIDA UTILIZANDO AÇO CA-60 DE 5 MM - MONTAGEM. AF_01/2024</v>
      </c>
      <c r="E104" s="220"/>
      <c r="F104" s="220"/>
      <c r="G104" s="220"/>
      <c r="H104" s="220"/>
      <c r="I104" s="220"/>
      <c r="J104" s="220"/>
      <c r="K104" s="143" t="str">
        <f>'Planilha orç.'!E36</f>
        <v>KG</v>
      </c>
    </row>
    <row r="105" spans="1:12" ht="12.75" customHeight="1">
      <c r="A105" s="142"/>
      <c r="B105" s="78"/>
      <c r="C105" s="82"/>
      <c r="D105" s="83" t="s">
        <v>353</v>
      </c>
      <c r="E105" s="73" t="s">
        <v>79</v>
      </c>
      <c r="F105" s="73"/>
      <c r="G105" s="73" t="s">
        <v>354</v>
      </c>
      <c r="H105" s="73"/>
      <c r="I105" s="73"/>
      <c r="J105" s="73"/>
      <c r="K105" s="143" t="s">
        <v>81</v>
      </c>
    </row>
    <row r="106" spans="1:12" ht="25.5">
      <c r="A106" s="142"/>
      <c r="B106" s="78" t="s">
        <v>358</v>
      </c>
      <c r="C106" s="82"/>
      <c r="D106" s="83" t="s">
        <v>361</v>
      </c>
      <c r="E106" s="73">
        <f>36.63+15+14.25+37.08+15.75+35.64+40.5+26.25+42.57+41.87</f>
        <v>305.54000000000002</v>
      </c>
      <c r="F106" s="71" t="s">
        <v>82</v>
      </c>
      <c r="G106" s="73">
        <v>0.154</v>
      </c>
      <c r="H106" s="73"/>
      <c r="I106" s="73"/>
      <c r="J106" s="71" t="s">
        <v>83</v>
      </c>
      <c r="K106" s="143">
        <f>E106*G106</f>
        <v>47.05</v>
      </c>
    </row>
    <row r="107" spans="1:12" ht="12.75" customHeight="1">
      <c r="A107" s="147"/>
      <c r="B107" s="78"/>
      <c r="C107" s="79"/>
      <c r="D107" s="84"/>
      <c r="E107" s="84"/>
      <c r="F107" s="84"/>
      <c r="G107" s="84"/>
      <c r="H107" s="84"/>
      <c r="I107" s="84"/>
      <c r="J107" s="84"/>
      <c r="K107" s="144">
        <f>ROUND(K106,2)</f>
        <v>47.05</v>
      </c>
    </row>
    <row r="108" spans="1:12" ht="24.75" customHeight="1">
      <c r="A108" s="142" t="str">
        <f>'Planilha orç.'!A37</f>
        <v>3.2.7</v>
      </c>
      <c r="B108" s="78" t="str">
        <f>'Planilha orç.'!B37</f>
        <v>SINAPI</v>
      </c>
      <c r="C108" s="82">
        <f>'Planilha orç.'!C37</f>
        <v>96555</v>
      </c>
      <c r="D108" s="219" t="str">
        <f>'Planilha orç.'!D37</f>
        <v>CONCRETAGEM DE BLOCO DE COROAMENTO OU VIGA BALDRAME, FCK 30 MPA, COM USO DE JERICA - LANÇAMENTO, ADENSAMENTO E ACABAMENTO.</v>
      </c>
      <c r="E108" s="220"/>
      <c r="F108" s="220"/>
      <c r="G108" s="220"/>
      <c r="H108" s="220"/>
      <c r="I108" s="220"/>
      <c r="J108" s="220"/>
      <c r="K108" s="143" t="str">
        <f>'Planilha orç.'!E37</f>
        <v>M3</v>
      </c>
    </row>
    <row r="109" spans="1:12" ht="12.75" customHeight="1">
      <c r="A109" s="142"/>
      <c r="B109" s="78" t="s">
        <v>351</v>
      </c>
      <c r="C109" s="82"/>
      <c r="D109" s="83" t="s">
        <v>345</v>
      </c>
      <c r="E109" s="73"/>
      <c r="F109" s="73"/>
      <c r="G109" s="73"/>
      <c r="H109" s="73"/>
      <c r="I109" s="73"/>
      <c r="J109" s="73"/>
      <c r="K109" s="143">
        <v>3</v>
      </c>
    </row>
    <row r="110" spans="1:12" ht="12.75" customHeight="1">
      <c r="A110" s="147"/>
      <c r="B110" s="78"/>
      <c r="C110" s="79"/>
      <c r="D110" s="84"/>
      <c r="E110" s="84"/>
      <c r="F110" s="84"/>
      <c r="G110" s="84"/>
      <c r="H110" s="84"/>
      <c r="I110" s="84"/>
      <c r="J110" s="84"/>
      <c r="K110" s="144">
        <f>K109</f>
        <v>3</v>
      </c>
    </row>
    <row r="111" spans="1:12" ht="12.75" customHeight="1">
      <c r="A111" s="142" t="str">
        <f>'Planilha orç.'!A38</f>
        <v>3.2.8</v>
      </c>
      <c r="B111" s="78" t="str">
        <f>'Planilha orç.'!B38</f>
        <v>SINAPI</v>
      </c>
      <c r="C111" s="82" t="str">
        <f>'Planilha orç.'!C38</f>
        <v>104737</v>
      </c>
      <c r="D111" s="219" t="str">
        <f>'Planilha orç.'!D38</f>
        <v>REATERRO MANUAL DE VALAS, COM PLACA VIBRATÓRIA. AF_08/2023</v>
      </c>
      <c r="E111" s="220"/>
      <c r="F111" s="220"/>
      <c r="G111" s="220"/>
      <c r="H111" s="220"/>
      <c r="I111" s="220"/>
      <c r="J111" s="220"/>
      <c r="K111" s="143" t="str">
        <f>'Planilha orç.'!E38</f>
        <v>M3</v>
      </c>
    </row>
    <row r="112" spans="1:12" ht="27" customHeight="1">
      <c r="A112" s="142"/>
      <c r="B112" s="78"/>
      <c r="C112" s="82"/>
      <c r="D112" s="83"/>
      <c r="E112" s="73" t="s">
        <v>746</v>
      </c>
      <c r="F112" s="73"/>
      <c r="G112" s="73" t="s">
        <v>747</v>
      </c>
      <c r="H112" s="73"/>
      <c r="I112" s="73" t="s">
        <v>748</v>
      </c>
      <c r="J112" s="73"/>
      <c r="K112" s="143"/>
    </row>
    <row r="113" spans="1:11" ht="12.75" customHeight="1">
      <c r="A113" s="142"/>
      <c r="B113" s="78"/>
      <c r="C113" s="82"/>
      <c r="D113" s="83"/>
      <c r="E113" s="87">
        <f>K79</f>
        <v>13.61</v>
      </c>
      <c r="F113" s="71" t="s">
        <v>127</v>
      </c>
      <c r="G113" s="87">
        <f>5*K92/100</f>
        <v>0.31</v>
      </c>
      <c r="H113" s="71" t="s">
        <v>127</v>
      </c>
      <c r="I113" s="87">
        <f>K110</f>
        <v>3</v>
      </c>
      <c r="J113" s="71" t="s">
        <v>83</v>
      </c>
      <c r="K113" s="143">
        <f>E113-G113-I113</f>
        <v>10.3</v>
      </c>
    </row>
    <row r="114" spans="1:11" ht="12.75" customHeight="1">
      <c r="A114" s="147"/>
      <c r="B114" s="78"/>
      <c r="C114" s="79"/>
      <c r="D114" s="84"/>
      <c r="E114" s="84"/>
      <c r="F114" s="84"/>
      <c r="G114" s="84"/>
      <c r="H114" s="84"/>
      <c r="I114" s="84"/>
      <c r="J114" s="84"/>
      <c r="K114" s="144">
        <f>K113</f>
        <v>10.3</v>
      </c>
    </row>
    <row r="115" spans="1:11" ht="6" customHeight="1">
      <c r="A115" s="224"/>
      <c r="B115" s="225"/>
      <c r="C115" s="225"/>
      <c r="D115" s="225"/>
      <c r="E115" s="225"/>
      <c r="F115" s="225"/>
      <c r="G115" s="225"/>
      <c r="H115" s="225"/>
      <c r="I115" s="225"/>
      <c r="J115" s="225"/>
      <c r="K115" s="226"/>
    </row>
    <row r="116" spans="1:11" ht="12.75" customHeight="1">
      <c r="A116" s="148" t="str">
        <f>'Planilha orç.'!A39</f>
        <v>3.3</v>
      </c>
      <c r="B116" s="221" t="str">
        <f>'Planilha orç.'!D39</f>
        <v>IMPERMEABILIZAÇÃO</v>
      </c>
      <c r="C116" s="222"/>
      <c r="D116" s="222"/>
      <c r="E116" s="222"/>
      <c r="F116" s="222"/>
      <c r="G116" s="222"/>
      <c r="H116" s="222"/>
      <c r="I116" s="222"/>
      <c r="J116" s="222"/>
      <c r="K116" s="223"/>
    </row>
    <row r="117" spans="1:11" ht="12.75" customHeight="1">
      <c r="A117" s="142" t="str">
        <f>'Planilha orç.'!A40</f>
        <v>3.3.1</v>
      </c>
      <c r="B117" s="78" t="str">
        <f>'Planilha orç.'!B40</f>
        <v>SINAPI</v>
      </c>
      <c r="C117" s="82" t="str">
        <f>'Planilha orç.'!C40</f>
        <v>98557</v>
      </c>
      <c r="D117" s="219" t="str">
        <f>'Planilha orç.'!D40</f>
        <v>IMPERMEABILIZAÇÃO DE SUPERFÍCIE COM EMULSÃO ASFÁLTICA, 2 DEMÃOS. AF_09/2023</v>
      </c>
      <c r="E117" s="220"/>
      <c r="F117" s="220"/>
      <c r="G117" s="220"/>
      <c r="H117" s="220"/>
      <c r="I117" s="220"/>
      <c r="J117" s="220"/>
      <c r="K117" s="143" t="str">
        <f>'Planilha orç.'!E40</f>
        <v>M2</v>
      </c>
    </row>
    <row r="118" spans="1:11" ht="12.75" customHeight="1">
      <c r="A118" s="142"/>
      <c r="B118" s="78"/>
      <c r="C118" s="82"/>
      <c r="D118" s="83"/>
      <c r="E118" s="84" t="s">
        <v>84</v>
      </c>
      <c r="F118" s="84"/>
      <c r="G118" s="86" t="s">
        <v>377</v>
      </c>
      <c r="H118" s="84"/>
      <c r="I118" s="84" t="s">
        <v>79</v>
      </c>
      <c r="J118" s="84"/>
      <c r="K118" s="143" t="s">
        <v>81</v>
      </c>
    </row>
    <row r="119" spans="1:11" ht="12.75" customHeight="1">
      <c r="A119" s="142"/>
      <c r="B119" s="78"/>
      <c r="C119" s="82"/>
      <c r="D119" s="125" t="s">
        <v>378</v>
      </c>
      <c r="E119" s="84">
        <v>0.14000000000000001</v>
      </c>
      <c r="F119" s="86" t="s">
        <v>388</v>
      </c>
      <c r="G119" s="84">
        <f>0.25*2</f>
        <v>0.5</v>
      </c>
      <c r="H119" s="86" t="s">
        <v>389</v>
      </c>
      <c r="I119" s="84">
        <v>7.36</v>
      </c>
      <c r="J119" s="86" t="s">
        <v>83</v>
      </c>
      <c r="K119" s="143">
        <f>ROUND((E119+G119)*I119,2)</f>
        <v>4.71</v>
      </c>
    </row>
    <row r="120" spans="1:11" ht="12.75" customHeight="1">
      <c r="A120" s="142"/>
      <c r="B120" s="78"/>
      <c r="C120" s="82"/>
      <c r="D120" s="125" t="s">
        <v>379</v>
      </c>
      <c r="E120" s="84">
        <v>0.14000000000000001</v>
      </c>
      <c r="F120" s="86" t="s">
        <v>388</v>
      </c>
      <c r="G120" s="84">
        <f t="shared" ref="G120:G128" si="5">0.25*2</f>
        <v>0.5</v>
      </c>
      <c r="H120" s="86" t="s">
        <v>389</v>
      </c>
      <c r="I120" s="84">
        <v>2.88</v>
      </c>
      <c r="J120" s="86" t="s">
        <v>83</v>
      </c>
      <c r="K120" s="143">
        <f t="shared" ref="K120:K128" si="6">ROUND((E120+G120)*I120,2)</f>
        <v>1.84</v>
      </c>
    </row>
    <row r="121" spans="1:11" ht="12.75" customHeight="1">
      <c r="A121" s="142"/>
      <c r="B121" s="78"/>
      <c r="C121" s="82"/>
      <c r="D121" s="125" t="s">
        <v>380</v>
      </c>
      <c r="E121" s="84">
        <v>0.14000000000000001</v>
      </c>
      <c r="F121" s="86" t="s">
        <v>388</v>
      </c>
      <c r="G121" s="84">
        <f t="shared" si="5"/>
        <v>0.5</v>
      </c>
      <c r="H121" s="86" t="s">
        <v>389</v>
      </c>
      <c r="I121" s="84">
        <v>2.75</v>
      </c>
      <c r="J121" s="86" t="s">
        <v>83</v>
      </c>
      <c r="K121" s="143">
        <f t="shared" si="6"/>
        <v>1.76</v>
      </c>
    </row>
    <row r="122" spans="1:11" ht="12.75" customHeight="1">
      <c r="A122" s="142"/>
      <c r="B122" s="78"/>
      <c r="C122" s="82"/>
      <c r="D122" s="125" t="s">
        <v>381</v>
      </c>
      <c r="E122" s="84">
        <v>0.18</v>
      </c>
      <c r="F122" s="86" t="s">
        <v>388</v>
      </c>
      <c r="G122" s="84">
        <f t="shared" si="5"/>
        <v>0.5</v>
      </c>
      <c r="H122" s="86" t="s">
        <v>389</v>
      </c>
      <c r="I122" s="84">
        <v>7.36</v>
      </c>
      <c r="J122" s="86" t="s">
        <v>83</v>
      </c>
      <c r="K122" s="143">
        <f t="shared" si="6"/>
        <v>5</v>
      </c>
    </row>
    <row r="123" spans="1:11" ht="12.75" customHeight="1">
      <c r="A123" s="142"/>
      <c r="B123" s="78"/>
      <c r="C123" s="82"/>
      <c r="D123" s="125" t="s">
        <v>382</v>
      </c>
      <c r="E123" s="84">
        <v>0.14000000000000001</v>
      </c>
      <c r="F123" s="86" t="s">
        <v>388</v>
      </c>
      <c r="G123" s="84">
        <f t="shared" si="5"/>
        <v>0.5</v>
      </c>
      <c r="H123" s="86" t="s">
        <v>389</v>
      </c>
      <c r="I123" s="84">
        <v>3.07</v>
      </c>
      <c r="J123" s="86" t="s">
        <v>83</v>
      </c>
      <c r="K123" s="143">
        <f t="shared" si="6"/>
        <v>1.96</v>
      </c>
    </row>
    <row r="124" spans="1:11" ht="12.75" customHeight="1">
      <c r="A124" s="142"/>
      <c r="B124" s="78"/>
      <c r="C124" s="82"/>
      <c r="D124" s="125" t="s">
        <v>383</v>
      </c>
      <c r="E124" s="84">
        <v>0.14000000000000001</v>
      </c>
      <c r="F124" s="86" t="s">
        <v>388</v>
      </c>
      <c r="G124" s="84">
        <f t="shared" si="5"/>
        <v>0.5</v>
      </c>
      <c r="H124" s="86" t="s">
        <v>389</v>
      </c>
      <c r="I124" s="84">
        <v>7.25</v>
      </c>
      <c r="J124" s="86" t="s">
        <v>83</v>
      </c>
      <c r="K124" s="143">
        <f t="shared" si="6"/>
        <v>4.6399999999999997</v>
      </c>
    </row>
    <row r="125" spans="1:11" ht="12.75" customHeight="1">
      <c r="A125" s="142"/>
      <c r="B125" s="78"/>
      <c r="C125" s="82"/>
      <c r="D125" s="125" t="s">
        <v>384</v>
      </c>
      <c r="E125" s="84">
        <v>0.14000000000000001</v>
      </c>
      <c r="F125" s="86" t="s">
        <v>388</v>
      </c>
      <c r="G125" s="84">
        <f t="shared" si="5"/>
        <v>0.5</v>
      </c>
      <c r="H125" s="86" t="s">
        <v>389</v>
      </c>
      <c r="I125" s="84">
        <v>8.4499999999999993</v>
      </c>
      <c r="J125" s="86" t="s">
        <v>83</v>
      </c>
      <c r="K125" s="143">
        <f t="shared" si="6"/>
        <v>5.41</v>
      </c>
    </row>
    <row r="126" spans="1:11" ht="12.75" customHeight="1">
      <c r="A126" s="142"/>
      <c r="B126" s="78"/>
      <c r="C126" s="82"/>
      <c r="D126" s="125" t="s">
        <v>385</v>
      </c>
      <c r="E126" s="84">
        <v>0.14000000000000001</v>
      </c>
      <c r="F126" s="86" t="s">
        <v>388</v>
      </c>
      <c r="G126" s="84">
        <f t="shared" si="5"/>
        <v>0.5</v>
      </c>
      <c r="H126" s="86" t="s">
        <v>389</v>
      </c>
      <c r="I126" s="73">
        <v>5.42</v>
      </c>
      <c r="J126" s="86" t="s">
        <v>83</v>
      </c>
      <c r="K126" s="143">
        <f t="shared" si="6"/>
        <v>3.47</v>
      </c>
    </row>
    <row r="127" spans="1:11" ht="12.75" customHeight="1">
      <c r="A127" s="142"/>
      <c r="B127" s="78"/>
      <c r="C127" s="82"/>
      <c r="D127" s="125" t="s">
        <v>386</v>
      </c>
      <c r="E127" s="84">
        <v>0.14000000000000001</v>
      </c>
      <c r="F127" s="86" t="s">
        <v>388</v>
      </c>
      <c r="G127" s="84">
        <f t="shared" si="5"/>
        <v>0.5</v>
      </c>
      <c r="H127" s="86" t="s">
        <v>389</v>
      </c>
      <c r="I127" s="73">
        <v>8.6199999999999992</v>
      </c>
      <c r="J127" s="86" t="s">
        <v>83</v>
      </c>
      <c r="K127" s="143">
        <f t="shared" si="6"/>
        <v>5.52</v>
      </c>
    </row>
    <row r="128" spans="1:11" ht="12.75" customHeight="1">
      <c r="A128" s="142"/>
      <c r="B128" s="78"/>
      <c r="C128" s="82"/>
      <c r="D128" s="125" t="s">
        <v>387</v>
      </c>
      <c r="E128" s="84">
        <v>0.14000000000000001</v>
      </c>
      <c r="F128" s="86" t="s">
        <v>388</v>
      </c>
      <c r="G128" s="84">
        <f t="shared" si="5"/>
        <v>0.5</v>
      </c>
      <c r="H128" s="86" t="s">
        <v>389</v>
      </c>
      <c r="I128" s="73">
        <v>8.35</v>
      </c>
      <c r="J128" s="86" t="s">
        <v>83</v>
      </c>
      <c r="K128" s="143">
        <f t="shared" si="6"/>
        <v>5.34</v>
      </c>
    </row>
    <row r="129" spans="1:11" ht="12.75" customHeight="1">
      <c r="A129" s="147"/>
      <c r="B129" s="78"/>
      <c r="C129" s="79"/>
      <c r="D129" s="84"/>
      <c r="E129" s="84"/>
      <c r="F129" s="84"/>
      <c r="G129" s="84"/>
      <c r="H129" s="84"/>
      <c r="I129" s="84"/>
      <c r="J129" s="84"/>
      <c r="K129" s="144">
        <f>SUM(K119:K128)</f>
        <v>39.65</v>
      </c>
    </row>
    <row r="130" spans="1:11" ht="6" customHeight="1">
      <c r="A130" s="224"/>
      <c r="B130" s="225"/>
      <c r="C130" s="225"/>
      <c r="D130" s="225"/>
      <c r="E130" s="225"/>
      <c r="F130" s="225"/>
      <c r="G130" s="225"/>
      <c r="H130" s="225"/>
      <c r="I130" s="225"/>
      <c r="J130" s="225"/>
      <c r="K130" s="226"/>
    </row>
    <row r="131" spans="1:11" ht="12.75" customHeight="1">
      <c r="A131" s="148">
        <f>'Planilha orç.'!A41</f>
        <v>4</v>
      </c>
      <c r="B131" s="221" t="str">
        <f>'Planilha orç.'!D41</f>
        <v>SUPERESTRUTURA</v>
      </c>
      <c r="C131" s="222"/>
      <c r="D131" s="222"/>
      <c r="E131" s="222"/>
      <c r="F131" s="222"/>
      <c r="G131" s="222"/>
      <c r="H131" s="222"/>
      <c r="I131" s="222"/>
      <c r="J131" s="222"/>
      <c r="K131" s="223"/>
    </row>
    <row r="132" spans="1:11" ht="12.75" customHeight="1">
      <c r="A132" s="148" t="str">
        <f>'Planilha orç.'!A42</f>
        <v>4.1</v>
      </c>
      <c r="B132" s="221" t="str">
        <f>'Planilha orç.'!D42</f>
        <v>PILARES, VIGAS E LAJES</v>
      </c>
      <c r="C132" s="222"/>
      <c r="D132" s="222"/>
      <c r="E132" s="222"/>
      <c r="F132" s="222"/>
      <c r="G132" s="222"/>
      <c r="H132" s="222"/>
      <c r="I132" s="222"/>
      <c r="J132" s="222"/>
      <c r="K132" s="223"/>
    </row>
    <row r="133" spans="1:11" ht="27" customHeight="1">
      <c r="A133" s="142" t="str">
        <f>'Planilha orç.'!A43</f>
        <v>4.1.1</v>
      </c>
      <c r="B133" s="78" t="str">
        <f>'Planilha orç.'!B43</f>
        <v>SINAPI</v>
      </c>
      <c r="C133" s="82" t="str">
        <f>'Planilha orç.'!C43</f>
        <v>92427</v>
      </c>
      <c r="D133" s="219" t="str">
        <f>'Planilha orç.'!D43</f>
        <v>MONTAGEM E DESMONTAGEM DE FÔRMA DE PILARES RETANGULARES E ESTRUTURAS SIMILARES, PÉ-DIREITO SIMPLES, EM CHAPA DE MADEIRA COMPENSADA RESINADA, 8 UTILIZAÇÕES. AF_09/2020</v>
      </c>
      <c r="E133" s="220"/>
      <c r="F133" s="220"/>
      <c r="G133" s="220"/>
      <c r="H133" s="220"/>
      <c r="I133" s="220"/>
      <c r="J133" s="220"/>
      <c r="K133" s="143" t="str">
        <f>'Planilha orç.'!E43</f>
        <v>M2</v>
      </c>
    </row>
    <row r="134" spans="1:11" ht="12.75" customHeight="1">
      <c r="A134" s="142"/>
      <c r="B134" s="78"/>
      <c r="C134" s="82"/>
      <c r="D134" s="78" t="s">
        <v>351</v>
      </c>
      <c r="E134" s="73"/>
      <c r="F134" s="73"/>
      <c r="G134" s="73"/>
      <c r="H134" s="73"/>
      <c r="I134" s="73"/>
      <c r="J134" s="73"/>
      <c r="K134" s="143">
        <v>30.6</v>
      </c>
    </row>
    <row r="135" spans="1:11" ht="12.75" customHeight="1">
      <c r="A135" s="147"/>
      <c r="B135" s="78"/>
      <c r="C135" s="79"/>
      <c r="D135" s="84"/>
      <c r="E135" s="84"/>
      <c r="F135" s="84"/>
      <c r="G135" s="84"/>
      <c r="H135" s="84"/>
      <c r="I135" s="84"/>
      <c r="J135" s="84"/>
      <c r="K135" s="144">
        <f>K134</f>
        <v>30.6</v>
      </c>
    </row>
    <row r="136" spans="1:11" ht="26.25" customHeight="1">
      <c r="A136" s="142" t="str">
        <f>'Planilha orç.'!A44</f>
        <v>4.1.2</v>
      </c>
      <c r="B136" s="78" t="str">
        <f>'Planilha orç.'!B44</f>
        <v>SINAPI</v>
      </c>
      <c r="C136" s="82" t="str">
        <f>'Planilha orç.'!C44</f>
        <v>92479</v>
      </c>
      <c r="D136" s="219" t="str">
        <f>'Planilha orç.'!D44</f>
        <v xml:space="preserve">MONTAGEM E DESMONTAGEM DE FÔRMA DE VIGA, SEM ESCORAMENTO, PÉ-DIREITO SIMPLES, EM CHAPA DE MADEIRA PLASTIFICADA, 18 UTILIZAÇÕES. </v>
      </c>
      <c r="E136" s="220"/>
      <c r="F136" s="220"/>
      <c r="G136" s="220"/>
      <c r="H136" s="220"/>
      <c r="I136" s="220"/>
      <c r="J136" s="220"/>
      <c r="K136" s="143" t="str">
        <f>'Planilha orç.'!E44</f>
        <v>M2</v>
      </c>
    </row>
    <row r="137" spans="1:11" ht="12.75" customHeight="1">
      <c r="A137" s="142"/>
      <c r="B137" s="78"/>
      <c r="C137" s="82"/>
      <c r="D137" s="78" t="s">
        <v>351</v>
      </c>
      <c r="E137" s="73"/>
      <c r="F137" s="73"/>
      <c r="G137" s="73"/>
      <c r="H137" s="73"/>
      <c r="I137" s="73"/>
      <c r="J137" s="73"/>
      <c r="K137" s="143">
        <v>44.6</v>
      </c>
    </row>
    <row r="138" spans="1:11" ht="12.75" customHeight="1">
      <c r="A138" s="147"/>
      <c r="B138" s="78"/>
      <c r="C138" s="79"/>
      <c r="D138" s="84"/>
      <c r="E138" s="84"/>
      <c r="F138" s="84"/>
      <c r="G138" s="84"/>
      <c r="H138" s="84"/>
      <c r="I138" s="84"/>
      <c r="J138" s="84"/>
      <c r="K138" s="144">
        <f>K137</f>
        <v>44.6</v>
      </c>
    </row>
    <row r="139" spans="1:11" ht="25.5" customHeight="1">
      <c r="A139" s="142" t="str">
        <f>'Planilha orç.'!A45</f>
        <v>4.1.3</v>
      </c>
      <c r="B139" s="78" t="str">
        <f>'Planilha orç.'!B45</f>
        <v>SINAPI</v>
      </c>
      <c r="C139" s="82" t="str">
        <f>'Planilha orç.'!C45</f>
        <v>92759</v>
      </c>
      <c r="D139" s="219" t="str">
        <f>'Planilha orç.'!D45</f>
        <v>ARMAÇÃO DE PILAR OU VIGA DE ESTRUTURA CONVENCIONAL DE CONCRETO ARMADO UTILIZANDO AÇO CA-60 DE 5,0 MM - MONTAGEM. AF_06/2022</v>
      </c>
      <c r="E139" s="220"/>
      <c r="F139" s="220"/>
      <c r="G139" s="220"/>
      <c r="H139" s="220"/>
      <c r="I139" s="220"/>
      <c r="J139" s="220"/>
      <c r="K139" s="143" t="str">
        <f>'Planilha orç.'!E45</f>
        <v>KG</v>
      </c>
    </row>
    <row r="140" spans="1:11">
      <c r="A140" s="142"/>
      <c r="B140" s="78"/>
      <c r="C140" s="82"/>
      <c r="D140" s="83"/>
      <c r="E140" s="73" t="s">
        <v>79</v>
      </c>
      <c r="F140" s="73"/>
      <c r="G140" s="73" t="s">
        <v>354</v>
      </c>
      <c r="H140" s="73"/>
      <c r="I140" s="73"/>
      <c r="J140" s="73"/>
      <c r="K140" s="143" t="s">
        <v>81</v>
      </c>
    </row>
    <row r="141" spans="1:11">
      <c r="A141" s="142"/>
      <c r="B141" s="78"/>
      <c r="C141" s="82"/>
      <c r="D141" s="78" t="s">
        <v>351</v>
      </c>
      <c r="E141" s="73">
        <v>585.9</v>
      </c>
      <c r="F141" s="71" t="s">
        <v>82</v>
      </c>
      <c r="G141" s="73">
        <v>0.154</v>
      </c>
      <c r="H141" s="73"/>
      <c r="I141" s="73"/>
      <c r="J141" s="71" t="s">
        <v>83</v>
      </c>
      <c r="K141" s="143">
        <f>E141*G141</f>
        <v>90.23</v>
      </c>
    </row>
    <row r="142" spans="1:11" ht="12.75" customHeight="1">
      <c r="A142" s="147"/>
      <c r="B142" s="78"/>
      <c r="C142" s="79"/>
      <c r="D142" s="84"/>
      <c r="E142" s="84"/>
      <c r="F142" s="84"/>
      <c r="G142" s="84"/>
      <c r="H142" s="84"/>
      <c r="I142" s="84"/>
      <c r="J142" s="84"/>
      <c r="K142" s="144">
        <f>K141</f>
        <v>90.23</v>
      </c>
    </row>
    <row r="143" spans="1:11" ht="27" customHeight="1">
      <c r="A143" s="142" t="str">
        <f>'Planilha orç.'!A46</f>
        <v>4.1.4</v>
      </c>
      <c r="B143" s="78" t="str">
        <f>'Planilha orç.'!B46</f>
        <v>SINAPI</v>
      </c>
      <c r="C143" s="82" t="str">
        <f>'Planilha orç.'!C46</f>
        <v>92760</v>
      </c>
      <c r="D143" s="219" t="str">
        <f>'Planilha orç.'!D46</f>
        <v>ARMAÇÃO DE PILAR OU VIGA DE ESTRUTURA CONVENCIONAL DE CONCRETO ARMADO UTILIZANDO AÇO CA-50 DE 6,3 MM - MONTAGEM. AF_06/2022</v>
      </c>
      <c r="E143" s="220"/>
      <c r="F143" s="220"/>
      <c r="G143" s="220"/>
      <c r="H143" s="220"/>
      <c r="I143" s="220"/>
      <c r="J143" s="220"/>
      <c r="K143" s="143" t="str">
        <f>'Planilha orç.'!E46</f>
        <v>KG</v>
      </c>
    </row>
    <row r="144" spans="1:11">
      <c r="A144" s="142"/>
      <c r="B144" s="78"/>
      <c r="C144" s="82"/>
      <c r="D144" s="83"/>
      <c r="E144" s="73" t="s">
        <v>79</v>
      </c>
      <c r="F144" s="73"/>
      <c r="G144" s="73" t="s">
        <v>354</v>
      </c>
      <c r="H144" s="73"/>
      <c r="I144" s="73"/>
      <c r="J144" s="73"/>
      <c r="K144" s="143" t="s">
        <v>81</v>
      </c>
    </row>
    <row r="145" spans="1:11" ht="12.75" customHeight="1">
      <c r="A145" s="142"/>
      <c r="B145" s="78"/>
      <c r="C145" s="82"/>
      <c r="D145" s="78" t="s">
        <v>351</v>
      </c>
      <c r="E145" s="73">
        <v>38.1</v>
      </c>
      <c r="F145" s="71" t="s">
        <v>82</v>
      </c>
      <c r="G145" s="73">
        <v>0.245</v>
      </c>
      <c r="H145" s="73"/>
      <c r="I145" s="73"/>
      <c r="J145" s="71" t="s">
        <v>83</v>
      </c>
      <c r="K145" s="143">
        <f>E145*G145</f>
        <v>9.33</v>
      </c>
    </row>
    <row r="146" spans="1:11" ht="12.75" customHeight="1">
      <c r="A146" s="147"/>
      <c r="B146" s="78"/>
      <c r="C146" s="79"/>
      <c r="D146" s="84"/>
      <c r="E146" s="84"/>
      <c r="F146" s="84"/>
      <c r="G146" s="84"/>
      <c r="H146" s="84"/>
      <c r="I146" s="84"/>
      <c r="J146" s="84"/>
      <c r="K146" s="144">
        <f>K145</f>
        <v>9.33</v>
      </c>
    </row>
    <row r="147" spans="1:11" ht="25.5" customHeight="1">
      <c r="A147" s="142" t="str">
        <f>'Planilha orç.'!A47</f>
        <v>4.1.5</v>
      </c>
      <c r="B147" s="78" t="str">
        <f>'Planilha orç.'!B47</f>
        <v>SINAPI</v>
      </c>
      <c r="C147" s="82" t="str">
        <f>'Planilha orç.'!C47</f>
        <v>92761</v>
      </c>
      <c r="D147" s="219" t="str">
        <f>'Planilha orç.'!D47</f>
        <v>ARMAÇÃO DE PILAR OU VIGA DE ESTRUTURA CONVENCIONAL DE CONCRETO ARMADO UTILIZANDO AÇO CA-50 DE 8,0 MM - MONTAGEM. AF_06/2022</v>
      </c>
      <c r="E147" s="220"/>
      <c r="F147" s="220"/>
      <c r="G147" s="220"/>
      <c r="H147" s="220"/>
      <c r="I147" s="220"/>
      <c r="J147" s="220"/>
      <c r="K147" s="143" t="str">
        <f>'Planilha orç.'!E47</f>
        <v>KG</v>
      </c>
    </row>
    <row r="148" spans="1:11">
      <c r="A148" s="142"/>
      <c r="B148" s="78"/>
      <c r="C148" s="82"/>
      <c r="D148" s="83"/>
      <c r="E148" s="73" t="s">
        <v>79</v>
      </c>
      <c r="F148" s="73"/>
      <c r="G148" s="73" t="s">
        <v>354</v>
      </c>
      <c r="H148" s="73"/>
      <c r="I148" s="73"/>
      <c r="J148" s="73"/>
      <c r="K148" s="143" t="s">
        <v>81</v>
      </c>
    </row>
    <row r="149" spans="1:11">
      <c r="A149" s="142"/>
      <c r="B149" s="78"/>
      <c r="C149" s="82"/>
      <c r="D149" s="78" t="s">
        <v>351</v>
      </c>
      <c r="E149" s="73">
        <v>269</v>
      </c>
      <c r="F149" s="71" t="s">
        <v>82</v>
      </c>
      <c r="G149" s="73">
        <v>0.39500000000000002</v>
      </c>
      <c r="H149" s="73"/>
      <c r="I149" s="73"/>
      <c r="J149" s="71" t="s">
        <v>83</v>
      </c>
      <c r="K149" s="143">
        <f>E149*G149</f>
        <v>106.26</v>
      </c>
    </row>
    <row r="150" spans="1:11" ht="12.75" customHeight="1">
      <c r="A150" s="147"/>
      <c r="B150" s="78"/>
      <c r="C150" s="79"/>
      <c r="D150" s="84"/>
      <c r="E150" s="84"/>
      <c r="F150" s="84"/>
      <c r="G150" s="84"/>
      <c r="H150" s="84"/>
      <c r="I150" s="84"/>
      <c r="J150" s="84"/>
      <c r="K150" s="144">
        <f>SUM(K149)</f>
        <v>106.26</v>
      </c>
    </row>
    <row r="151" spans="1:11" ht="27" customHeight="1">
      <c r="A151" s="142" t="str">
        <f>'Planilha orç.'!A48</f>
        <v>4.1.6</v>
      </c>
      <c r="B151" s="78" t="str">
        <f>'Planilha orç.'!B48</f>
        <v>SINAPI</v>
      </c>
      <c r="C151" s="82" t="str">
        <f>'Planilha orç.'!C48</f>
        <v>92762</v>
      </c>
      <c r="D151" s="219" t="str">
        <f>'Planilha orç.'!D48</f>
        <v>ARMAÇÃO DE PILAR OU VIGA DE ESTRUTURA CONVENCIONAL DE CONCRETO ARMADO UTILIZANDO AÇO CA-50 DE 10,0 MM - MONTAGEM. AF_06/2022</v>
      </c>
      <c r="E151" s="220"/>
      <c r="F151" s="220"/>
      <c r="G151" s="220"/>
      <c r="H151" s="220"/>
      <c r="I151" s="220"/>
      <c r="J151" s="220"/>
      <c r="K151" s="143" t="str">
        <f>'Planilha orç.'!E48</f>
        <v>KG</v>
      </c>
    </row>
    <row r="152" spans="1:11">
      <c r="A152" s="142"/>
      <c r="B152" s="78"/>
      <c r="C152" s="82"/>
      <c r="D152" s="83"/>
      <c r="E152" s="73" t="s">
        <v>79</v>
      </c>
      <c r="F152" s="73"/>
      <c r="G152" s="73" t="s">
        <v>354</v>
      </c>
      <c r="H152" s="73"/>
      <c r="I152" s="73"/>
      <c r="J152" s="73"/>
      <c r="K152" s="143" t="s">
        <v>81</v>
      </c>
    </row>
    <row r="153" spans="1:11">
      <c r="A153" s="142"/>
      <c r="B153" s="78"/>
      <c r="C153" s="82"/>
      <c r="D153" s="78" t="s">
        <v>351</v>
      </c>
      <c r="E153" s="73">
        <f>36.63+15+14.25+37.08+15.75+35.64+40.5+26.25+42.57+41.87</f>
        <v>305.54000000000002</v>
      </c>
      <c r="F153" s="71" t="s">
        <v>82</v>
      </c>
      <c r="G153" s="73">
        <v>0.61699999999999999</v>
      </c>
      <c r="H153" s="73"/>
      <c r="I153" s="73"/>
      <c r="J153" s="71" t="s">
        <v>83</v>
      </c>
      <c r="K153" s="143">
        <f>E153*G153</f>
        <v>188.52</v>
      </c>
    </row>
    <row r="154" spans="1:11" ht="12.75" customHeight="1">
      <c r="A154" s="147"/>
      <c r="B154" s="78"/>
      <c r="C154" s="79"/>
      <c r="D154" s="84"/>
      <c r="E154" s="84"/>
      <c r="F154" s="84"/>
      <c r="G154" s="84"/>
      <c r="H154" s="84"/>
      <c r="I154" s="84"/>
      <c r="J154" s="84"/>
      <c r="K154" s="144">
        <f>SUM(K153)</f>
        <v>188.52</v>
      </c>
    </row>
    <row r="155" spans="1:11" ht="27" customHeight="1">
      <c r="A155" s="142" t="str">
        <f>'Planilha orç.'!A49</f>
        <v>4.1.7</v>
      </c>
      <c r="B155" s="78" t="str">
        <f>'Planilha orç.'!B49</f>
        <v>SINAPI</v>
      </c>
      <c r="C155" s="82">
        <f>'Planilha orç.'!C49</f>
        <v>103669</v>
      </c>
      <c r="D155" s="219" t="str">
        <f>'Planilha orç.'!D49</f>
        <v>CONCRETAGEM DE PILARES, FCK = 25 MPA,  COM USO DE BALDES - LANÇAMENTO, ADENSAMENTO E ACABAMENTO. AF_02/2022</v>
      </c>
      <c r="E155" s="220"/>
      <c r="F155" s="220"/>
      <c r="G155" s="220"/>
      <c r="H155" s="220"/>
      <c r="I155" s="220"/>
      <c r="J155" s="220"/>
      <c r="K155" s="143" t="str">
        <f>'Planilha orç.'!E49</f>
        <v>M3</v>
      </c>
    </row>
    <row r="156" spans="1:11" ht="12.75" customHeight="1">
      <c r="A156" s="142"/>
      <c r="B156" s="78" t="s">
        <v>351</v>
      </c>
      <c r="C156" s="82"/>
      <c r="D156" s="83" t="s">
        <v>345</v>
      </c>
      <c r="E156" s="73"/>
      <c r="F156" s="73"/>
      <c r="G156" s="73"/>
      <c r="H156" s="73"/>
      <c r="I156" s="73"/>
      <c r="J156" s="73"/>
      <c r="K156" s="143">
        <v>1.4</v>
      </c>
    </row>
    <row r="157" spans="1:11" ht="12.75" customHeight="1">
      <c r="A157" s="147"/>
      <c r="B157" s="78"/>
      <c r="C157" s="79"/>
      <c r="D157" s="84"/>
      <c r="E157" s="84"/>
      <c r="F157" s="84"/>
      <c r="G157" s="84"/>
      <c r="H157" s="84"/>
      <c r="I157" s="84"/>
      <c r="J157" s="84"/>
      <c r="K157" s="144">
        <f>SUM(K156:K156)</f>
        <v>1.4</v>
      </c>
    </row>
    <row r="158" spans="1:11" ht="26.25" customHeight="1">
      <c r="A158" s="142" t="str">
        <f>'Planilha orç.'!A50</f>
        <v>4.1.8</v>
      </c>
      <c r="B158" s="78" t="str">
        <f>'Planilha orç.'!B50</f>
        <v>SINAPI</v>
      </c>
      <c r="C158" s="82" t="str">
        <f>'Planilha orç.'!C50</f>
        <v>103675</v>
      </c>
      <c r="D158" s="219" t="str">
        <f>'Planilha orç.'!D50</f>
        <v>CONCRETAGEM DE VIGAS E LAJES, FCK=25 MPA, PARA LAJES MACIÇAS OU NERVURADAS COM USO DE BOMBA - LANÇAMENTO, ADENSAMENTO E ACABAMENTO. AF_02/2022_PS</v>
      </c>
      <c r="E158" s="220"/>
      <c r="F158" s="220"/>
      <c r="G158" s="220"/>
      <c r="H158" s="220"/>
      <c r="I158" s="220"/>
      <c r="J158" s="220"/>
      <c r="K158" s="143" t="str">
        <f>'Planilha orç.'!E50</f>
        <v>M3</v>
      </c>
    </row>
    <row r="159" spans="1:11">
      <c r="A159" s="142"/>
      <c r="B159" s="78"/>
      <c r="C159" s="82"/>
      <c r="D159" s="83"/>
      <c r="E159" s="73" t="s">
        <v>129</v>
      </c>
      <c r="F159" s="73"/>
      <c r="G159" s="73" t="s">
        <v>84</v>
      </c>
      <c r="H159" s="73"/>
      <c r="I159" s="73" t="s">
        <v>79</v>
      </c>
      <c r="J159" s="73"/>
      <c r="K159" s="143"/>
    </row>
    <row r="160" spans="1:11" ht="12.75" customHeight="1">
      <c r="A160" s="142"/>
      <c r="B160" s="78" t="s">
        <v>351</v>
      </c>
      <c r="C160" s="82"/>
      <c r="D160" s="83" t="s">
        <v>390</v>
      </c>
      <c r="E160" s="73"/>
      <c r="F160" s="73"/>
      <c r="G160" s="73"/>
      <c r="H160" s="73"/>
      <c r="I160" s="73"/>
      <c r="J160" s="71" t="s">
        <v>83</v>
      </c>
      <c r="K160" s="143">
        <v>3.1</v>
      </c>
    </row>
    <row r="161" spans="1:13" ht="12.75" customHeight="1">
      <c r="A161" s="142"/>
      <c r="B161" s="78"/>
      <c r="C161" s="82"/>
      <c r="D161" s="83" t="s">
        <v>391</v>
      </c>
      <c r="E161" s="73">
        <v>0.1</v>
      </c>
      <c r="F161" s="71" t="s">
        <v>82</v>
      </c>
      <c r="G161" s="73">
        <v>7.74</v>
      </c>
      <c r="H161" s="71" t="s">
        <v>82</v>
      </c>
      <c r="I161" s="73">
        <v>8.9499999999999993</v>
      </c>
      <c r="J161" s="71" t="s">
        <v>83</v>
      </c>
      <c r="K161" s="143">
        <f>ROUND(E161*G161*I161,2)</f>
        <v>6.93</v>
      </c>
      <c r="M161">
        <f>G161*I161</f>
        <v>69.272999999999996</v>
      </c>
    </row>
    <row r="162" spans="1:13" ht="12.75" customHeight="1">
      <c r="A162" s="147"/>
      <c r="C162" s="79"/>
      <c r="D162" s="84"/>
      <c r="E162" s="84"/>
      <c r="F162" s="84"/>
      <c r="G162" s="84"/>
      <c r="H162" s="84"/>
      <c r="I162" s="84"/>
      <c r="J162" s="84"/>
      <c r="K162" s="144">
        <f>SUM(K160:K161)</f>
        <v>10.029999999999999</v>
      </c>
    </row>
    <row r="163" spans="1:13" ht="27" customHeight="1">
      <c r="A163" s="142" t="str">
        <f>'Planilha orç.'!A51</f>
        <v>4.1.9</v>
      </c>
      <c r="B163" s="78" t="str">
        <f>'Planilha orç.'!B51</f>
        <v>SINAPI</v>
      </c>
      <c r="C163" s="82">
        <f>'Planilha orç.'!C51</f>
        <v>103761</v>
      </c>
      <c r="D163" s="219" t="str">
        <f>'Planilha orç.'!D51</f>
        <v>MONTAGEM E DESMONTAGEM DE FÔRMA DE LAJE MACIÇA, PÉDIREITO SIMPLES, EM CHAPA DE MADEIRA COMPENSADA RESINADA E CIMBRAMENTO DE MADEIRA, 2 UTILIZAÇÕES. AF_03/2022</v>
      </c>
      <c r="E163" s="220"/>
      <c r="F163" s="220"/>
      <c r="G163" s="220"/>
      <c r="H163" s="220"/>
      <c r="I163" s="220"/>
      <c r="J163" s="220"/>
      <c r="K163" s="143" t="str">
        <f>'Planilha orç.'!E51</f>
        <v>M2</v>
      </c>
    </row>
    <row r="164" spans="1:13" ht="12.75" customHeight="1">
      <c r="A164" s="142"/>
      <c r="B164" s="78"/>
      <c r="C164" s="82"/>
      <c r="D164" s="83"/>
      <c r="E164" s="73" t="s">
        <v>129</v>
      </c>
      <c r="F164" s="73"/>
      <c r="G164" s="73" t="s">
        <v>84</v>
      </c>
      <c r="H164" s="73"/>
      <c r="I164" s="73" t="s">
        <v>79</v>
      </c>
      <c r="J164" s="73"/>
      <c r="K164" s="143"/>
    </row>
    <row r="165" spans="1:13" ht="12.75" customHeight="1">
      <c r="A165" s="142"/>
      <c r="B165" s="78" t="s">
        <v>351</v>
      </c>
      <c r="C165" s="82"/>
      <c r="D165" s="83" t="s">
        <v>397</v>
      </c>
      <c r="E165" s="73">
        <f>ROUND(0.1*(7.74*2+8.95*2),2)</f>
        <v>3.34</v>
      </c>
      <c r="F165" s="71" t="s">
        <v>388</v>
      </c>
      <c r="G165" s="73">
        <v>58.01</v>
      </c>
      <c r="H165" s="71" t="s">
        <v>388</v>
      </c>
      <c r="I165" s="73">
        <v>2.4300000000000002</v>
      </c>
      <c r="J165" s="71" t="s">
        <v>83</v>
      </c>
      <c r="K165" s="143">
        <f>ROUND(E165+G165+I165,2)</f>
        <v>63.78</v>
      </c>
      <c r="M165">
        <v>11.27</v>
      </c>
    </row>
    <row r="166" spans="1:13" ht="12.75" customHeight="1">
      <c r="A166" s="147"/>
      <c r="C166" s="79"/>
      <c r="D166" s="84"/>
      <c r="E166" s="84"/>
      <c r="F166" s="84"/>
      <c r="G166" s="84"/>
      <c r="H166" s="84"/>
      <c r="I166" s="84"/>
      <c r="J166" s="84"/>
      <c r="K166" s="144">
        <f>SUM(K165:K165)</f>
        <v>63.78</v>
      </c>
      <c r="M166">
        <v>6.3</v>
      </c>
    </row>
    <row r="167" spans="1:13" ht="25.5" customHeight="1">
      <c r="A167" s="142" t="str">
        <f>'Planilha orç.'!A52</f>
        <v>4.1.10</v>
      </c>
      <c r="B167" s="78" t="str">
        <f>'Planilha orç.'!B52</f>
        <v>SINAPI</v>
      </c>
      <c r="C167" s="82" t="str">
        <f>'Planilha orç.'!C52</f>
        <v>92768</v>
      </c>
      <c r="D167" s="219" t="str">
        <f>'Planilha orç.'!D52</f>
        <v>ARMAÇÃO DE LAJE DE ESTRUTURA CONVENCIONAL DE CONCRETO ARMADO UTILIZANDO AÇO CA-60 DE 5,0 MM - MONTAGEM. AF_06/2022</v>
      </c>
      <c r="E167" s="220"/>
      <c r="F167" s="220"/>
      <c r="G167" s="220"/>
      <c r="H167" s="220"/>
      <c r="I167" s="220"/>
      <c r="J167" s="220"/>
      <c r="K167" s="143" t="str">
        <f>'Planilha orç.'!E52</f>
        <v>KG</v>
      </c>
      <c r="M167">
        <v>8.26</v>
      </c>
    </row>
    <row r="168" spans="1:13" ht="12.75" customHeight="1">
      <c r="A168" s="142"/>
      <c r="B168" s="78"/>
      <c r="C168" s="82"/>
      <c r="D168" s="83"/>
      <c r="E168" s="73"/>
      <c r="F168" s="73"/>
      <c r="G168" s="73"/>
      <c r="H168" s="73"/>
      <c r="I168" s="73"/>
      <c r="J168" s="73"/>
      <c r="K168" s="143"/>
      <c r="M168">
        <v>8.34</v>
      </c>
    </row>
    <row r="169" spans="1:13" ht="12.75" customHeight="1">
      <c r="A169" s="142"/>
      <c r="B169" s="78" t="s">
        <v>351</v>
      </c>
      <c r="C169" s="82"/>
      <c r="D169" s="83" t="s">
        <v>398</v>
      </c>
      <c r="E169" s="73"/>
      <c r="F169" s="71"/>
      <c r="G169" s="73"/>
      <c r="H169" s="71"/>
      <c r="I169" s="73"/>
      <c r="J169" s="71" t="s">
        <v>83</v>
      </c>
      <c r="K169" s="143">
        <v>150.9</v>
      </c>
      <c r="M169">
        <v>6.89</v>
      </c>
    </row>
    <row r="170" spans="1:13" ht="12.75" customHeight="1">
      <c r="A170" s="147"/>
      <c r="C170" s="79"/>
      <c r="D170" s="84"/>
      <c r="E170" s="84"/>
      <c r="F170" s="84"/>
      <c r="G170" s="84"/>
      <c r="H170" s="84"/>
      <c r="I170" s="84"/>
      <c r="J170" s="84"/>
      <c r="K170" s="144">
        <f>K169</f>
        <v>150.9</v>
      </c>
      <c r="M170">
        <v>12.58</v>
      </c>
    </row>
    <row r="171" spans="1:13" ht="26.25" customHeight="1">
      <c r="A171" s="142" t="str">
        <f>'Planilha orç.'!A53</f>
        <v>4.1.11</v>
      </c>
      <c r="B171" s="78" t="str">
        <f>'Planilha orç.'!B53</f>
        <v>SINAPI</v>
      </c>
      <c r="C171" s="82" t="str">
        <f>'Planilha orç.'!C53</f>
        <v>92769</v>
      </c>
      <c r="D171" s="219" t="str">
        <f>'Planilha orç.'!D53</f>
        <v>ARMAÇÃO DE LAJE DE ESTRUTURA CONVENCIONAL DE CONCRETO ARMADO UTILIZANDO AÇO CA-50 DE 6,3 MM - MONTAGEM. AF_06/2022</v>
      </c>
      <c r="E171" s="220"/>
      <c r="F171" s="220"/>
      <c r="G171" s="220"/>
      <c r="H171" s="220"/>
      <c r="I171" s="220"/>
      <c r="J171" s="220"/>
      <c r="K171" s="143" t="str">
        <f>'Planilha orç.'!E53</f>
        <v>KG</v>
      </c>
      <c r="M171">
        <v>2.4300000000000002</v>
      </c>
    </row>
    <row r="172" spans="1:13" ht="12.75" customHeight="1">
      <c r="A172" s="142"/>
      <c r="B172" s="78"/>
      <c r="C172" s="82"/>
      <c r="D172" s="83"/>
      <c r="E172" s="73"/>
      <c r="F172" s="73"/>
      <c r="G172" s="73"/>
      <c r="H172" s="73"/>
      <c r="I172" s="73"/>
      <c r="J172" s="73"/>
      <c r="K172" s="143"/>
      <c r="M172">
        <f>SUM(M165:M171)</f>
        <v>56.07</v>
      </c>
    </row>
    <row r="173" spans="1:13" ht="12.75" customHeight="1">
      <c r="A173" s="142"/>
      <c r="B173" s="78" t="s">
        <v>351</v>
      </c>
      <c r="C173" s="82"/>
      <c r="D173" s="83" t="s">
        <v>399</v>
      </c>
      <c r="E173" s="73"/>
      <c r="F173" s="71"/>
      <c r="G173" s="73"/>
      <c r="H173" s="71"/>
      <c r="I173" s="73"/>
      <c r="J173" s="71" t="s">
        <v>83</v>
      </c>
      <c r="K173" s="143">
        <v>99.4</v>
      </c>
    </row>
    <row r="174" spans="1:13" ht="12.75" customHeight="1">
      <c r="A174" s="147"/>
      <c r="C174" s="79"/>
      <c r="D174" s="84"/>
      <c r="E174" s="84"/>
      <c r="F174" s="84"/>
      <c r="G174" s="84"/>
      <c r="H174" s="84"/>
      <c r="I174" s="84"/>
      <c r="J174" s="84"/>
      <c r="K174" s="144">
        <f>K173</f>
        <v>99.4</v>
      </c>
    </row>
    <row r="175" spans="1:13" ht="6" customHeight="1">
      <c r="A175" s="224"/>
      <c r="B175" s="225"/>
      <c r="C175" s="225"/>
      <c r="D175" s="225"/>
      <c r="E175" s="225"/>
      <c r="F175" s="225"/>
      <c r="G175" s="225"/>
      <c r="H175" s="225"/>
      <c r="I175" s="225"/>
      <c r="J175" s="225"/>
      <c r="K175" s="226"/>
    </row>
    <row r="176" spans="1:13" ht="12.75" customHeight="1">
      <c r="A176" s="148" t="s">
        <v>876</v>
      </c>
      <c r="B176" s="221" t="str">
        <f>'Planilha orç.'!D54</f>
        <v>PAREDES E PAINÉIS</v>
      </c>
      <c r="C176" s="222"/>
      <c r="D176" s="222"/>
      <c r="E176" s="222"/>
      <c r="F176" s="222"/>
      <c r="G176" s="222"/>
      <c r="H176" s="222"/>
      <c r="I176" s="222"/>
      <c r="J176" s="222"/>
      <c r="K176" s="223"/>
    </row>
    <row r="177" spans="1:14" ht="12.75" customHeight="1">
      <c r="A177" s="148" t="str">
        <f>'Planilha orç.'!A55</f>
        <v>5.1</v>
      </c>
      <c r="B177" s="221" t="str">
        <f>'Planilha orç.'!D55</f>
        <v>ALVENARIA/FECHAMENTO</v>
      </c>
      <c r="C177" s="222"/>
      <c r="D177" s="222"/>
      <c r="E177" s="222"/>
      <c r="F177" s="222"/>
      <c r="G177" s="222"/>
      <c r="H177" s="222"/>
      <c r="I177" s="222"/>
      <c r="J177" s="222"/>
      <c r="K177" s="223"/>
    </row>
    <row r="178" spans="1:14" ht="27" customHeight="1">
      <c r="A178" s="142" t="str">
        <f>'Planilha orç.'!A56</f>
        <v>5.1.1</v>
      </c>
      <c r="B178" s="78" t="str">
        <f>'Planilha orç.'!B56</f>
        <v>SINAPI</v>
      </c>
      <c r="C178" s="82">
        <f>'Planilha orç.'!C56</f>
        <v>103356</v>
      </c>
      <c r="D178" s="219" t="str">
        <f>'Planilha orç.'!D56</f>
        <v>ALVENARIA DE VEDAÇÃO DE BLOCOS CERÂMICOS FURADOS NA HORIZONTAL DE 9X19X29 CM (ESPESSURA 9 CM) E ARGAMASSA DE ASSENTAMENTO COM PREPARO EM BETONEIRA. AF_12/2021</v>
      </c>
      <c r="E178" s="220"/>
      <c r="F178" s="220"/>
      <c r="G178" s="220"/>
      <c r="H178" s="220"/>
      <c r="I178" s="220"/>
      <c r="J178" s="220"/>
      <c r="K178" s="143" t="str">
        <f>'Planilha orç.'!E56</f>
        <v>M2</v>
      </c>
    </row>
    <row r="179" spans="1:14" ht="12.75" customHeight="1">
      <c r="A179" s="142"/>
      <c r="B179" s="78"/>
      <c r="C179" s="82"/>
      <c r="D179" s="83"/>
      <c r="E179" s="73" t="s">
        <v>79</v>
      </c>
      <c r="F179" s="73"/>
      <c r="G179" s="73" t="s">
        <v>80</v>
      </c>
      <c r="H179" s="73"/>
      <c r="I179" s="73" t="s">
        <v>402</v>
      </c>
      <c r="J179" s="73"/>
      <c r="K179" s="143"/>
    </row>
    <row r="180" spans="1:14" ht="12.75" customHeight="1">
      <c r="A180" s="142"/>
      <c r="B180" s="78"/>
      <c r="C180" s="82"/>
      <c r="D180" s="83"/>
      <c r="E180" s="73">
        <v>5.63</v>
      </c>
      <c r="F180" s="71" t="s">
        <v>82</v>
      </c>
      <c r="G180" s="73">
        <v>2.6</v>
      </c>
      <c r="H180" s="71" t="s">
        <v>127</v>
      </c>
      <c r="I180" s="73">
        <f>2.2*0.85*2</f>
        <v>3.74</v>
      </c>
      <c r="J180" s="71" t="s">
        <v>83</v>
      </c>
      <c r="K180" s="143">
        <f>ROUND(E180*G180-I180,2)</f>
        <v>10.9</v>
      </c>
    </row>
    <row r="181" spans="1:14" ht="12.75" customHeight="1">
      <c r="A181" s="142"/>
      <c r="B181" s="78"/>
      <c r="C181" s="82"/>
      <c r="D181" s="83"/>
      <c r="E181" s="73">
        <v>5.63</v>
      </c>
      <c r="F181" s="71" t="s">
        <v>82</v>
      </c>
      <c r="G181" s="73">
        <v>2.5</v>
      </c>
      <c r="H181" s="71" t="s">
        <v>127</v>
      </c>
      <c r="I181" s="73">
        <f>2.2*0.85*2</f>
        <v>3.74</v>
      </c>
      <c r="J181" s="71" t="s">
        <v>83</v>
      </c>
      <c r="K181" s="143">
        <f t="shared" ref="K181:K185" si="7">ROUND(E181*G181-I181,2)</f>
        <v>10.34</v>
      </c>
    </row>
    <row r="182" spans="1:14" ht="12.75" customHeight="1">
      <c r="A182" s="142"/>
      <c r="B182" s="78"/>
      <c r="C182" s="82"/>
      <c r="D182" s="83"/>
      <c r="E182" s="73">
        <f>2.95-0.26</f>
        <v>2.69</v>
      </c>
      <c r="F182" s="71" t="s">
        <v>82</v>
      </c>
      <c r="G182" s="73">
        <v>2.6</v>
      </c>
      <c r="H182" s="71" t="s">
        <v>127</v>
      </c>
      <c r="I182" s="73"/>
      <c r="J182" s="71" t="s">
        <v>83</v>
      </c>
      <c r="K182" s="143">
        <f t="shared" si="7"/>
        <v>6.99</v>
      </c>
    </row>
    <row r="183" spans="1:14" ht="12.75" customHeight="1">
      <c r="A183" s="142"/>
      <c r="B183" s="78"/>
      <c r="C183" s="82"/>
      <c r="D183" s="83"/>
      <c r="E183" s="73">
        <f>2.95-0.26</f>
        <v>2.69</v>
      </c>
      <c r="F183" s="71" t="s">
        <v>82</v>
      </c>
      <c r="G183" s="73">
        <v>2.5</v>
      </c>
      <c r="H183" s="71" t="s">
        <v>127</v>
      </c>
      <c r="I183" s="73"/>
      <c r="J183" s="71" t="s">
        <v>83</v>
      </c>
      <c r="K183" s="143">
        <f t="shared" si="7"/>
        <v>6.73</v>
      </c>
      <c r="M183">
        <f>11.27+6.3+8.26+8.34+6.89+12.58+4.37</f>
        <v>58.01</v>
      </c>
    </row>
    <row r="184" spans="1:14" ht="12.75" customHeight="1">
      <c r="A184" s="142"/>
      <c r="B184" s="78"/>
      <c r="C184" s="82"/>
      <c r="D184" s="83"/>
      <c r="E184" s="73">
        <f>3.09-0.26</f>
        <v>2.83</v>
      </c>
      <c r="F184" s="71" t="s">
        <v>82</v>
      </c>
      <c r="G184" s="73">
        <v>2.6</v>
      </c>
      <c r="H184" s="71" t="s">
        <v>127</v>
      </c>
      <c r="I184" s="73"/>
      <c r="J184" s="71" t="s">
        <v>83</v>
      </c>
      <c r="K184" s="143">
        <f t="shared" si="7"/>
        <v>7.36</v>
      </c>
      <c r="M184">
        <f>8.98*2+7.78*2+0.8*2</f>
        <v>35.119999999999997</v>
      </c>
      <c r="N184">
        <f>M184*3.3-1.5*1.2*5-2.1*0.9*2</f>
        <v>103.116</v>
      </c>
    </row>
    <row r="185" spans="1:14" ht="12.75" customHeight="1">
      <c r="A185" s="142"/>
      <c r="B185" s="78"/>
      <c r="C185" s="82"/>
      <c r="D185" s="83"/>
      <c r="E185" s="73">
        <v>3.09</v>
      </c>
      <c r="F185" s="71" t="s">
        <v>82</v>
      </c>
      <c r="G185" s="73">
        <v>2.5</v>
      </c>
      <c r="H185" s="71" t="s">
        <v>127</v>
      </c>
      <c r="I185" s="73"/>
      <c r="J185" s="71" t="s">
        <v>83</v>
      </c>
      <c r="K185" s="143">
        <f t="shared" si="7"/>
        <v>7.73</v>
      </c>
    </row>
    <row r="186" spans="1:14" ht="12.75" customHeight="1">
      <c r="A186" s="147"/>
      <c r="B186" s="78"/>
      <c r="C186" s="79"/>
      <c r="D186" s="84"/>
      <c r="E186" s="84"/>
      <c r="F186" s="84"/>
      <c r="G186" s="84"/>
      <c r="H186" s="84"/>
      <c r="I186" s="84"/>
      <c r="J186" s="84"/>
      <c r="K186" s="144">
        <f>SUM(K180:K185)</f>
        <v>50.05</v>
      </c>
    </row>
    <row r="187" spans="1:14" ht="28.5" customHeight="1">
      <c r="A187" s="142" t="str">
        <f>'Planilha orç.'!A57</f>
        <v>5.1.2</v>
      </c>
      <c r="B187" s="78" t="str">
        <f>'Planilha orç.'!B57</f>
        <v>SINAPI</v>
      </c>
      <c r="C187" s="82">
        <f>'Planilha orç.'!C57</f>
        <v>103361</v>
      </c>
      <c r="D187" s="219" t="str">
        <f>'Planilha orç.'!D57</f>
        <v>ALVENARIA DE VEDAÇÃO DE BLOCOS CERÂMICOS FURADOS NA HORIZONTAL DE 14X19X29 CM (ESPESSURA 14 CM) E ARGAMASSA DE ASSENTAMENTO COM PREPARO MANUAL. AF_12/2021</v>
      </c>
      <c r="E187" s="220"/>
      <c r="F187" s="220"/>
      <c r="G187" s="220"/>
      <c r="H187" s="220"/>
      <c r="I187" s="220"/>
      <c r="J187" s="220"/>
      <c r="K187" s="143" t="str">
        <f>'Planilha orç.'!E57</f>
        <v>M2</v>
      </c>
    </row>
    <row r="188" spans="1:14" ht="12.75" customHeight="1">
      <c r="A188" s="142"/>
      <c r="B188" s="78"/>
      <c r="C188" s="82"/>
      <c r="D188" s="83"/>
      <c r="E188" s="73" t="s">
        <v>79</v>
      </c>
      <c r="F188" s="73"/>
      <c r="G188" s="73" t="s">
        <v>80</v>
      </c>
      <c r="H188" s="73"/>
      <c r="I188" s="73" t="s">
        <v>402</v>
      </c>
      <c r="J188" s="73"/>
      <c r="K188" s="143"/>
    </row>
    <row r="189" spans="1:14" ht="12.75" customHeight="1">
      <c r="A189" s="142"/>
      <c r="B189" s="78"/>
      <c r="C189" s="82"/>
      <c r="D189" s="83"/>
      <c r="E189" s="73">
        <f>8.95-0.26*3-0.14</f>
        <v>8.0299999999999994</v>
      </c>
      <c r="F189" s="71" t="s">
        <v>82</v>
      </c>
      <c r="G189" s="73">
        <v>2.5</v>
      </c>
      <c r="H189" s="71" t="s">
        <v>127</v>
      </c>
      <c r="I189" s="122">
        <f>2.2*0.85*2+1.5*1.3</f>
        <v>5.69</v>
      </c>
      <c r="J189" s="71" t="s">
        <v>83</v>
      </c>
      <c r="K189" s="143">
        <f>ROUND(E189*G189-I189,2)</f>
        <v>14.39</v>
      </c>
    </row>
    <row r="190" spans="1:14" ht="12.75" customHeight="1">
      <c r="A190" s="142"/>
      <c r="B190" s="78"/>
      <c r="C190" s="82"/>
      <c r="D190" s="83"/>
      <c r="E190" s="73">
        <f>8.95-0.26*4</f>
        <v>7.91</v>
      </c>
      <c r="F190" s="71" t="s">
        <v>82</v>
      </c>
      <c r="G190" s="73">
        <v>2.5</v>
      </c>
      <c r="H190" s="71" t="s">
        <v>127</v>
      </c>
      <c r="I190" s="122">
        <f>1.5*1.3*2</f>
        <v>3.9</v>
      </c>
      <c r="J190" s="71" t="s">
        <v>83</v>
      </c>
      <c r="K190" s="143">
        <f t="shared" ref="K190:K194" si="8">ROUND(E190*G190-I190,2)</f>
        <v>15.88</v>
      </c>
    </row>
    <row r="191" spans="1:14" ht="12.75" customHeight="1">
      <c r="A191" s="142"/>
      <c r="B191" s="78"/>
      <c r="C191" s="82"/>
      <c r="D191" s="83"/>
      <c r="E191" s="73">
        <f>7.74-0.14*2-0.26</f>
        <v>7.2</v>
      </c>
      <c r="F191" s="71" t="s">
        <v>82</v>
      </c>
      <c r="G191" s="73">
        <v>2.5</v>
      </c>
      <c r="H191" s="71" t="s">
        <v>127</v>
      </c>
      <c r="I191" s="122"/>
      <c r="J191" s="71" t="s">
        <v>83</v>
      </c>
      <c r="K191" s="143">
        <f t="shared" si="8"/>
        <v>18</v>
      </c>
    </row>
    <row r="192" spans="1:14" ht="12.75" customHeight="1">
      <c r="A192" s="142"/>
      <c r="B192" s="78"/>
      <c r="C192" s="82"/>
      <c r="D192" s="83"/>
      <c r="E192" s="73">
        <f>4.25-0.12*2</f>
        <v>4.01</v>
      </c>
      <c r="F192" s="71" t="s">
        <v>82</v>
      </c>
      <c r="G192" s="73">
        <v>2.5</v>
      </c>
      <c r="H192" s="71" t="s">
        <v>127</v>
      </c>
      <c r="I192" s="122">
        <f>1.5*1.2</f>
        <v>1.8</v>
      </c>
      <c r="J192" s="71" t="s">
        <v>83</v>
      </c>
      <c r="K192" s="143">
        <f t="shared" si="8"/>
        <v>8.23</v>
      </c>
    </row>
    <row r="193" spans="1:11" ht="12.75" customHeight="1">
      <c r="A193" s="142"/>
      <c r="B193" s="78"/>
      <c r="C193" s="82"/>
      <c r="D193" s="83"/>
      <c r="E193" s="73">
        <f>3.07</f>
        <v>3.07</v>
      </c>
      <c r="F193" s="71" t="s">
        <v>82</v>
      </c>
      <c r="G193" s="73">
        <v>2.6</v>
      </c>
      <c r="H193" s="71" t="s">
        <v>127</v>
      </c>
      <c r="I193" s="122">
        <f>2.2*0.85+1.5*1.3</f>
        <v>3.82</v>
      </c>
      <c r="J193" s="71" t="s">
        <v>83</v>
      </c>
      <c r="K193" s="143">
        <f t="shared" si="8"/>
        <v>4.16</v>
      </c>
    </row>
    <row r="194" spans="1:11" ht="12.75" customHeight="1">
      <c r="A194" s="142"/>
      <c r="B194" s="78"/>
      <c r="C194" s="82"/>
      <c r="D194" s="83"/>
      <c r="E194" s="126">
        <f>3.03</f>
        <v>3.03</v>
      </c>
      <c r="F194" s="71" t="s">
        <v>82</v>
      </c>
      <c r="G194" s="73">
        <v>2.5</v>
      </c>
      <c r="H194" s="71" t="s">
        <v>127</v>
      </c>
      <c r="I194" s="122">
        <f>1.2*2.5</f>
        <v>3</v>
      </c>
      <c r="J194" s="71" t="s">
        <v>83</v>
      </c>
      <c r="K194" s="143">
        <f t="shared" si="8"/>
        <v>4.58</v>
      </c>
    </row>
    <row r="195" spans="1:11" ht="12.75" customHeight="1">
      <c r="A195" s="142"/>
      <c r="B195" s="78"/>
      <c r="C195" s="82"/>
      <c r="D195" s="83" t="s">
        <v>429</v>
      </c>
      <c r="E195" s="73"/>
      <c r="F195" s="71"/>
      <c r="G195" s="73"/>
      <c r="H195" s="71"/>
      <c r="I195" s="73"/>
      <c r="J195" s="71" t="s">
        <v>83</v>
      </c>
      <c r="K195" s="143">
        <v>7.18</v>
      </c>
    </row>
    <row r="196" spans="1:11" ht="12.75" customHeight="1">
      <c r="A196" s="142"/>
      <c r="B196" s="78"/>
      <c r="C196" s="82"/>
      <c r="D196" s="83" t="s">
        <v>430</v>
      </c>
      <c r="E196" s="73"/>
      <c r="F196" s="71"/>
      <c r="G196" s="73"/>
      <c r="H196" s="71"/>
      <c r="I196" s="73"/>
      <c r="J196" s="71" t="s">
        <v>83</v>
      </c>
      <c r="K196" s="143">
        <v>7.18</v>
      </c>
    </row>
    <row r="197" spans="1:11" ht="12.75" customHeight="1">
      <c r="A197" s="147"/>
      <c r="B197" s="78"/>
      <c r="C197" s="79"/>
      <c r="D197" s="84"/>
      <c r="E197" s="84"/>
      <c r="F197" s="84"/>
      <c r="G197" s="84"/>
      <c r="H197" s="84"/>
      <c r="I197" s="84"/>
      <c r="J197" s="84"/>
      <c r="K197" s="144">
        <f>SUM(K189:K196)</f>
        <v>79.599999999999994</v>
      </c>
    </row>
    <row r="198" spans="1:11">
      <c r="A198" s="142" t="str">
        <f>'Planilha orç.'!A58</f>
        <v>5.1.3</v>
      </c>
      <c r="B198" s="78" t="str">
        <f>'Planilha orç.'!B58</f>
        <v>SINAPI</v>
      </c>
      <c r="C198" s="82" t="str">
        <f>'Planilha orç.'!C58</f>
        <v>105024</v>
      </c>
      <c r="D198" s="219" t="str">
        <f>'Planilha orç.'!D58</f>
        <v>VERGA MOLDADA IN LOCO EM CONCRETO, ESPESSURA DE *10* CM. AF_03/2024</v>
      </c>
      <c r="E198" s="220"/>
      <c r="F198" s="220"/>
      <c r="G198" s="220"/>
      <c r="H198" s="220"/>
      <c r="I198" s="220"/>
      <c r="J198" s="220"/>
      <c r="K198" s="143" t="str">
        <f>'Planilha orç.'!E58</f>
        <v>M</v>
      </c>
    </row>
    <row r="199" spans="1:11" ht="12.75" customHeight="1">
      <c r="A199" s="142"/>
      <c r="B199" s="78"/>
      <c r="C199" s="82"/>
      <c r="D199" s="83"/>
      <c r="E199" s="73"/>
      <c r="F199" s="73"/>
      <c r="G199" s="73" t="s">
        <v>339</v>
      </c>
      <c r="H199" s="73"/>
      <c r="I199" s="73" t="s">
        <v>79</v>
      </c>
      <c r="J199" s="73"/>
      <c r="K199" s="143" t="s">
        <v>340</v>
      </c>
    </row>
    <row r="200" spans="1:11" ht="12.75" customHeight="1">
      <c r="A200" s="142"/>
      <c r="B200" s="78"/>
      <c r="C200" s="82"/>
      <c r="D200" s="83" t="s">
        <v>333</v>
      </c>
      <c r="E200" s="73"/>
      <c r="F200" s="73"/>
      <c r="G200" s="73">
        <v>3</v>
      </c>
      <c r="H200" s="73" t="s">
        <v>82</v>
      </c>
      <c r="I200" s="73">
        <f>0.3*2+0.88</f>
        <v>1.48</v>
      </c>
      <c r="J200" s="71" t="s">
        <v>83</v>
      </c>
      <c r="K200" s="143">
        <f>G200*I200</f>
        <v>4.4400000000000004</v>
      </c>
    </row>
    <row r="201" spans="1:11" ht="12.75" customHeight="1">
      <c r="A201" s="142"/>
      <c r="B201" s="78"/>
      <c r="C201" s="82"/>
      <c r="D201" s="83" t="s">
        <v>334</v>
      </c>
      <c r="E201" s="73"/>
      <c r="F201" s="73"/>
      <c r="G201" s="73">
        <v>3</v>
      </c>
      <c r="H201" s="73"/>
      <c r="I201" s="73">
        <f>0.3*2+0.9</f>
        <v>1.5</v>
      </c>
      <c r="J201" s="71" t="s">
        <v>83</v>
      </c>
      <c r="K201" s="143">
        <f t="shared" ref="K201:K205" si="9">G201*I201</f>
        <v>4.5</v>
      </c>
    </row>
    <row r="202" spans="1:11" ht="12.75" customHeight="1">
      <c r="A202" s="142"/>
      <c r="B202" s="78"/>
      <c r="C202" s="82"/>
      <c r="D202" s="83" t="s">
        <v>335</v>
      </c>
      <c r="E202" s="73"/>
      <c r="F202" s="73"/>
      <c r="G202" s="73">
        <v>1</v>
      </c>
      <c r="H202" s="73"/>
      <c r="I202" s="73">
        <f>0.3*2+0.8</f>
        <v>1.4</v>
      </c>
      <c r="J202" s="71" t="s">
        <v>83</v>
      </c>
      <c r="K202" s="143">
        <f t="shared" si="9"/>
        <v>1.4</v>
      </c>
    </row>
    <row r="203" spans="1:11" ht="12.75" customHeight="1">
      <c r="A203" s="142"/>
      <c r="B203" s="78"/>
      <c r="C203" s="82"/>
      <c r="D203" s="83" t="s">
        <v>336</v>
      </c>
      <c r="E203" s="73"/>
      <c r="F203" s="73"/>
      <c r="G203" s="73">
        <v>5</v>
      </c>
      <c r="H203" s="73"/>
      <c r="I203" s="73">
        <f>0.3*2+1.5</f>
        <v>2.1</v>
      </c>
      <c r="J203" s="71" t="s">
        <v>83</v>
      </c>
      <c r="K203" s="143">
        <f t="shared" si="9"/>
        <v>10.5</v>
      </c>
    </row>
    <row r="204" spans="1:11" ht="12.75" customHeight="1">
      <c r="A204" s="142"/>
      <c r="B204" s="78"/>
      <c r="C204" s="82"/>
      <c r="D204" s="83" t="s">
        <v>337</v>
      </c>
      <c r="E204" s="73"/>
      <c r="F204" s="73"/>
      <c r="G204" s="73">
        <v>1</v>
      </c>
      <c r="H204" s="73"/>
      <c r="I204" s="73">
        <f>0.3*2+0.8</f>
        <v>1.4</v>
      </c>
      <c r="J204" s="71" t="s">
        <v>83</v>
      </c>
      <c r="K204" s="143">
        <f t="shared" si="9"/>
        <v>1.4</v>
      </c>
    </row>
    <row r="205" spans="1:11" ht="12.75" customHeight="1">
      <c r="A205" s="142"/>
      <c r="B205" s="78"/>
      <c r="C205" s="82"/>
      <c r="D205" s="83" t="s">
        <v>338</v>
      </c>
      <c r="E205" s="73"/>
      <c r="F205" s="73"/>
      <c r="G205" s="73">
        <v>1</v>
      </c>
      <c r="H205" s="73"/>
      <c r="I205" s="73">
        <f>0.3*2+1.5</f>
        <v>2.1</v>
      </c>
      <c r="J205" s="71" t="s">
        <v>83</v>
      </c>
      <c r="K205" s="143">
        <f t="shared" si="9"/>
        <v>2.1</v>
      </c>
    </row>
    <row r="206" spans="1:11" ht="12.75" customHeight="1">
      <c r="A206" s="147"/>
      <c r="B206" s="78"/>
      <c r="C206" s="79"/>
      <c r="D206" s="84"/>
      <c r="E206" s="84"/>
      <c r="F206" s="84"/>
      <c r="G206" s="84"/>
      <c r="H206" s="84"/>
      <c r="I206" s="84"/>
      <c r="J206" s="84"/>
      <c r="K206" s="144">
        <f>SUM(K200:K205)</f>
        <v>24.34</v>
      </c>
    </row>
    <row r="207" spans="1:11" ht="12.75" customHeight="1">
      <c r="A207" s="142" t="str">
        <f>'Planilha orç.'!A59</f>
        <v>5.1.4</v>
      </c>
      <c r="B207" s="78" t="str">
        <f>'Planilha orç.'!B59</f>
        <v>SINAPI</v>
      </c>
      <c r="C207" s="82" t="str">
        <f>'Planilha orç.'!C59</f>
        <v>105030</v>
      </c>
      <c r="D207" s="219" t="str">
        <f>'Planilha orç.'!D59</f>
        <v>CONTRAVERGA MOLDADA IN LOCO EM CONCRETO, ESPESSURA DE *10* CM. AF_03/2024</v>
      </c>
      <c r="E207" s="220"/>
      <c r="F207" s="220"/>
      <c r="G207" s="220"/>
      <c r="H207" s="220"/>
      <c r="I207" s="220"/>
      <c r="J207" s="220"/>
      <c r="K207" s="143" t="str">
        <f>'Planilha orç.'!E59</f>
        <v>M</v>
      </c>
    </row>
    <row r="208" spans="1:11" ht="12.75" customHeight="1">
      <c r="A208" s="142"/>
      <c r="B208" s="78"/>
      <c r="C208" s="82"/>
      <c r="D208" s="83"/>
      <c r="E208" s="73"/>
      <c r="F208" s="73"/>
      <c r="G208" s="73" t="s">
        <v>339</v>
      </c>
      <c r="H208" s="73"/>
      <c r="I208" s="73" t="s">
        <v>79</v>
      </c>
      <c r="J208" s="73"/>
      <c r="K208" s="143" t="s">
        <v>340</v>
      </c>
    </row>
    <row r="209" spans="1:11" ht="12.75" customHeight="1">
      <c r="A209" s="142"/>
      <c r="B209" s="78"/>
      <c r="C209" s="82"/>
      <c r="D209" s="83" t="s">
        <v>335</v>
      </c>
      <c r="E209" s="73"/>
      <c r="F209" s="73"/>
      <c r="G209" s="73">
        <v>1</v>
      </c>
      <c r="H209" s="73"/>
      <c r="I209" s="73">
        <f>0.3*2+0.8</f>
        <v>1.4</v>
      </c>
      <c r="J209" s="71" t="s">
        <v>83</v>
      </c>
      <c r="K209" s="143">
        <f t="shared" ref="K209:K212" si="10">G209*I209</f>
        <v>1.4</v>
      </c>
    </row>
    <row r="210" spans="1:11" ht="12.75" customHeight="1">
      <c r="A210" s="142"/>
      <c r="B210" s="78"/>
      <c r="C210" s="82"/>
      <c r="D210" s="83" t="s">
        <v>336</v>
      </c>
      <c r="E210" s="73"/>
      <c r="F210" s="73"/>
      <c r="G210" s="73">
        <v>5</v>
      </c>
      <c r="H210" s="73"/>
      <c r="I210" s="73">
        <f>0.3*2+1.5</f>
        <v>2.1</v>
      </c>
      <c r="J210" s="71" t="s">
        <v>83</v>
      </c>
      <c r="K210" s="143">
        <f t="shared" si="10"/>
        <v>10.5</v>
      </c>
    </row>
    <row r="211" spans="1:11" ht="12.75" customHeight="1">
      <c r="A211" s="142"/>
      <c r="B211" s="78"/>
      <c r="C211" s="82"/>
      <c r="D211" s="83" t="s">
        <v>337</v>
      </c>
      <c r="E211" s="73"/>
      <c r="F211" s="73"/>
      <c r="G211" s="73">
        <v>1</v>
      </c>
      <c r="H211" s="73"/>
      <c r="I211" s="73">
        <f>0.3*2+0.8</f>
        <v>1.4</v>
      </c>
      <c r="J211" s="71" t="s">
        <v>83</v>
      </c>
      <c r="K211" s="143">
        <f t="shared" si="10"/>
        <v>1.4</v>
      </c>
    </row>
    <row r="212" spans="1:11" ht="12.75" customHeight="1">
      <c r="A212" s="142"/>
      <c r="B212" s="78"/>
      <c r="C212" s="82"/>
      <c r="D212" s="83" t="s">
        <v>338</v>
      </c>
      <c r="E212" s="73"/>
      <c r="F212" s="73"/>
      <c r="G212" s="73">
        <v>1</v>
      </c>
      <c r="H212" s="73"/>
      <c r="I212" s="73">
        <f>0.3*2+1.5</f>
        <v>2.1</v>
      </c>
      <c r="J212" s="71" t="s">
        <v>83</v>
      </c>
      <c r="K212" s="143">
        <f t="shared" si="10"/>
        <v>2.1</v>
      </c>
    </row>
    <row r="213" spans="1:11" ht="12.75" customHeight="1">
      <c r="A213" s="147"/>
      <c r="B213" s="78"/>
      <c r="C213" s="79"/>
      <c r="D213" s="84"/>
      <c r="E213" s="84"/>
      <c r="F213" s="84"/>
      <c r="G213" s="84"/>
      <c r="H213" s="84"/>
      <c r="I213" s="84"/>
      <c r="J213" s="84"/>
      <c r="K213" s="144">
        <f>SUM(K209:K212)</f>
        <v>15.4</v>
      </c>
    </row>
    <row r="214" spans="1:11" ht="6" customHeight="1">
      <c r="A214" s="224"/>
      <c r="B214" s="225"/>
      <c r="C214" s="225"/>
      <c r="D214" s="225"/>
      <c r="E214" s="225"/>
      <c r="F214" s="225"/>
      <c r="G214" s="225"/>
      <c r="H214" s="225"/>
      <c r="I214" s="225"/>
      <c r="J214" s="225"/>
      <c r="K214" s="226"/>
    </row>
    <row r="215" spans="1:11" ht="12.75" customHeight="1">
      <c r="A215" s="148" t="str">
        <f>'Planilha orç.'!A60</f>
        <v>5.2</v>
      </c>
      <c r="B215" s="221" t="str">
        <f>'Planilha orç.'!D60</f>
        <v>ESQUADRIAS</v>
      </c>
      <c r="C215" s="222"/>
      <c r="D215" s="222"/>
      <c r="E215" s="222"/>
      <c r="F215" s="222"/>
      <c r="G215" s="222"/>
      <c r="H215" s="222"/>
      <c r="I215" s="222"/>
      <c r="J215" s="222"/>
      <c r="K215" s="223"/>
    </row>
    <row r="216" spans="1:11" ht="54" customHeight="1">
      <c r="A216" s="142" t="str">
        <f>'Planilha orç.'!A61</f>
        <v>5.2.1</v>
      </c>
      <c r="B216" s="78" t="str">
        <f>'Planilha orç.'!B61</f>
        <v>SINAPI</v>
      </c>
      <c r="C216" s="82" t="str">
        <f>'Planilha orç.'!C61</f>
        <v>94570</v>
      </c>
      <c r="D216" s="219" t="str">
        <f>'Planilha orç.'!D61</f>
        <v>JANELA DE ALUMÍNIO DE CORRER COM 2 FOLHAS PARA VIDROS (VIDROS INCLUSOS), BATENTE/ REQUADRO 6 A 14 CM, ACABAMENTO COM ACETATO OU BRILHANTE, FIXAÇÃO COM PARAFUSO, SEM GUARNIÇÃO/ ALIZAR, DIMENSÕES 100X120 CM, VEDAÇÃO COM SILICONE, EXCLUSIVE CONTRAMARCO - FORNECIMENTO E INSTALAÇÃO. AF_11/2024</v>
      </c>
      <c r="E216" s="220"/>
      <c r="F216" s="220"/>
      <c r="G216" s="220"/>
      <c r="H216" s="220"/>
      <c r="I216" s="220"/>
      <c r="J216" s="220"/>
      <c r="K216" s="143" t="str">
        <f>'Planilha orç.'!E61</f>
        <v>M2</v>
      </c>
    </row>
    <row r="217" spans="1:11" ht="12.75" customHeight="1">
      <c r="A217" s="142"/>
      <c r="B217" s="78"/>
      <c r="C217" s="82"/>
      <c r="D217" s="83"/>
      <c r="E217" s="73" t="s">
        <v>339</v>
      </c>
      <c r="F217" s="73"/>
      <c r="G217" s="73" t="s">
        <v>79</v>
      </c>
      <c r="H217" s="73"/>
      <c r="I217" s="73" t="s">
        <v>80</v>
      </c>
      <c r="J217" s="73"/>
      <c r="K217" s="143"/>
    </row>
    <row r="218" spans="1:11" ht="12.75" customHeight="1">
      <c r="A218" s="142"/>
      <c r="B218" s="78"/>
      <c r="C218" s="82"/>
      <c r="D218" s="83" t="s">
        <v>336</v>
      </c>
      <c r="E218" s="122">
        <v>1</v>
      </c>
      <c r="F218" s="127" t="s">
        <v>82</v>
      </c>
      <c r="G218" s="122">
        <v>1.5</v>
      </c>
      <c r="H218" s="127" t="s">
        <v>82</v>
      </c>
      <c r="I218" s="122">
        <v>1.2</v>
      </c>
      <c r="J218" s="71" t="s">
        <v>83</v>
      </c>
      <c r="K218" s="143">
        <f>ROUND(E218*G218*I218,2)</f>
        <v>1.8</v>
      </c>
    </row>
    <row r="219" spans="1:11" ht="12.75" customHeight="1">
      <c r="A219" s="142"/>
      <c r="B219" s="78"/>
      <c r="C219" s="82"/>
      <c r="D219" s="83" t="s">
        <v>338</v>
      </c>
      <c r="E219" s="122">
        <v>1</v>
      </c>
      <c r="F219" s="127" t="s">
        <v>82</v>
      </c>
      <c r="G219" s="122">
        <v>1.5</v>
      </c>
      <c r="H219" s="127" t="s">
        <v>82</v>
      </c>
      <c r="I219" s="122">
        <v>1.2</v>
      </c>
      <c r="J219" s="71" t="s">
        <v>83</v>
      </c>
      <c r="K219" s="143">
        <f>ROUND(E219*G219*I219,2)</f>
        <v>1.8</v>
      </c>
    </row>
    <row r="220" spans="1:11" ht="12.75" customHeight="1">
      <c r="A220" s="147"/>
      <c r="B220" s="78"/>
      <c r="C220" s="79"/>
      <c r="D220" s="84"/>
      <c r="E220" s="84"/>
      <c r="F220" s="84"/>
      <c r="G220" s="84"/>
      <c r="H220" s="84"/>
      <c r="I220" s="84"/>
      <c r="J220" s="84"/>
      <c r="K220" s="144">
        <f>SUM(K218:K219)</f>
        <v>3.6</v>
      </c>
    </row>
    <row r="221" spans="1:11" ht="42.75" customHeight="1">
      <c r="A221" s="142" t="str">
        <f>'Planilha orç.'!A62</f>
        <v>5.2.2</v>
      </c>
      <c r="B221" s="78" t="str">
        <f>'Planilha orç.'!B62</f>
        <v>SINAPI</v>
      </c>
      <c r="C221" s="82" t="str">
        <f>'Planilha orç.'!C62</f>
        <v>94569</v>
      </c>
      <c r="D221" s="219" t="str">
        <f>'Planilha orç.'!D62</f>
        <v>JANELA DE ALUMÍNIO TIPO MAXIM-AR, BATENTE/ REQUADRO 3 A 14 CM, VIDRO INCLUSO, FIXAÇÃO COM PARAFUSO, SEM GUARNIÇÃO/ ALIZAR, DIMENSÕES 60X80 (A X L) CM, SEM ACABAMENTO, VEDAÇÃO COM SILICONE, EXCLUSIVE CONTRAMARCO - FORNECIMENTO E INSTALAÇÃO. AF_11/2024</v>
      </c>
      <c r="E221" s="220"/>
      <c r="F221" s="220"/>
      <c r="G221" s="220"/>
      <c r="H221" s="220"/>
      <c r="I221" s="220"/>
      <c r="J221" s="220"/>
      <c r="K221" s="143" t="str">
        <f>'Planilha orç.'!E62</f>
        <v>M2</v>
      </c>
    </row>
    <row r="222" spans="1:11" ht="12.75" customHeight="1">
      <c r="A222" s="142"/>
      <c r="B222" s="78"/>
      <c r="C222" s="82"/>
      <c r="D222" s="83"/>
      <c r="E222" s="73" t="s">
        <v>339</v>
      </c>
      <c r="F222" s="73"/>
      <c r="G222" s="73" t="s">
        <v>79</v>
      </c>
      <c r="H222" s="73"/>
      <c r="I222" s="73" t="s">
        <v>80</v>
      </c>
      <c r="J222" s="73"/>
      <c r="K222" s="143"/>
    </row>
    <row r="223" spans="1:11" ht="12.75" customHeight="1">
      <c r="A223" s="142"/>
      <c r="B223" s="78"/>
      <c r="C223" s="82"/>
      <c r="D223" s="83" t="s">
        <v>403</v>
      </c>
      <c r="E223" s="122">
        <v>2</v>
      </c>
      <c r="F223" s="127" t="s">
        <v>82</v>
      </c>
      <c r="G223" s="122">
        <v>0.8</v>
      </c>
      <c r="H223" s="127" t="s">
        <v>82</v>
      </c>
      <c r="I223" s="122">
        <v>0.6</v>
      </c>
      <c r="J223" s="71" t="s">
        <v>83</v>
      </c>
      <c r="K223" s="143">
        <f>ROUND(E223*G223*I223,2)</f>
        <v>0.96</v>
      </c>
    </row>
    <row r="224" spans="1:11" ht="12.75" customHeight="1">
      <c r="A224" s="147"/>
      <c r="B224" s="78"/>
      <c r="C224" s="79"/>
      <c r="D224" s="84"/>
      <c r="E224" s="84"/>
      <c r="F224" s="84"/>
      <c r="G224" s="84"/>
      <c r="H224" s="84"/>
      <c r="I224" s="84"/>
      <c r="J224" s="84"/>
      <c r="K224" s="144">
        <f>SUM(K223:K223)</f>
        <v>0.96</v>
      </c>
    </row>
    <row r="225" spans="1:11" ht="6" customHeight="1">
      <c r="A225" s="224"/>
      <c r="B225" s="225"/>
      <c r="C225" s="225"/>
      <c r="D225" s="225"/>
      <c r="E225" s="225"/>
      <c r="F225" s="225"/>
      <c r="G225" s="225"/>
      <c r="H225" s="225"/>
      <c r="I225" s="225"/>
      <c r="J225" s="225"/>
      <c r="K225" s="226"/>
    </row>
    <row r="226" spans="1:11" ht="12.75" customHeight="1">
      <c r="A226" s="148" t="str">
        <f>'Planilha orç.'!A63</f>
        <v>5.3</v>
      </c>
      <c r="B226" s="221" t="str">
        <f>'Planilha orç.'!D63</f>
        <v>ESQUADRIAS DE MADEIRAS</v>
      </c>
      <c r="C226" s="222"/>
      <c r="D226" s="222"/>
      <c r="E226" s="222"/>
      <c r="F226" s="222"/>
      <c r="G226" s="222"/>
      <c r="H226" s="222"/>
      <c r="I226" s="222"/>
      <c r="J226" s="222"/>
      <c r="K226" s="223"/>
    </row>
    <row r="227" spans="1:11" ht="39.75" customHeight="1">
      <c r="A227" s="142" t="str">
        <f>'Planilha orç.'!A64</f>
        <v>5.3.1</v>
      </c>
      <c r="B227" s="78" t="str">
        <f>'Planilha orç.'!B64</f>
        <v>Composição</v>
      </c>
      <c r="C227" s="82" t="str">
        <f>'Planilha orç.'!C64</f>
        <v>CPU-005</v>
      </c>
      <c r="D227" s="219" t="str">
        <f>'Planilha orç.'!D64</f>
        <v>KIT DE PORTA DE MADEIRA MACIÇA (PESADA OU SUPERPESADA), PADRÃO POPULAR, 90X210CM, ESPESSURA DE 3,5CM, ITENS INCLUSOS: DOBRADIÇAS, MONTAGEM E INSTALAÇÃO DO BATENTE, SEM FECHADURA - FORNECIMENTO E INSTALAÇÃO.</v>
      </c>
      <c r="E227" s="220"/>
      <c r="F227" s="220"/>
      <c r="G227" s="220"/>
      <c r="H227" s="220"/>
      <c r="I227" s="220"/>
      <c r="J227" s="220"/>
      <c r="K227" s="143" t="str">
        <f>'Planilha orç.'!E64</f>
        <v>UN</v>
      </c>
    </row>
    <row r="228" spans="1:11" ht="12.75" customHeight="1">
      <c r="A228" s="147"/>
      <c r="B228" s="78"/>
      <c r="C228" s="79"/>
      <c r="D228" s="84"/>
      <c r="E228" s="84"/>
      <c r="F228" s="84"/>
      <c r="G228" s="84"/>
      <c r="H228" s="84"/>
      <c r="I228" s="84"/>
      <c r="J228" s="84"/>
      <c r="K228" s="144">
        <v>3</v>
      </c>
    </row>
    <row r="229" spans="1:11" ht="41.25" customHeight="1">
      <c r="A229" s="142" t="str">
        <f>'Planilha orç.'!A65</f>
        <v>5.3.2</v>
      </c>
      <c r="B229" s="78" t="str">
        <f>'Planilha orç.'!B65</f>
        <v>SINAPI</v>
      </c>
      <c r="C229" s="82" t="str">
        <f>'Planilha orç.'!C65</f>
        <v>91315</v>
      </c>
      <c r="D229" s="233" t="str">
        <f>'Planilha orç.'!D65</f>
        <v>KIT DE PORTA DE MADEIRA PARA PINTURA, SEMI-OCA (LEVE OU MÉDIA), PADRÃO POPULAR, 90X210CM, ESPESSURA DE 3,5CM, ITENS INCLUSOS: DOBRADIÇAS, MONTAGEM E INSTALAÇÃO DO BATENTE, FECHADURA COM EXECUÇÃO DO FURO - FORNECIMENTO E INSTALAÇÃO. AF_12/2019</v>
      </c>
      <c r="E229" s="234"/>
      <c r="F229" s="234"/>
      <c r="G229" s="234"/>
      <c r="H229" s="234"/>
      <c r="I229" s="234"/>
      <c r="J229" s="235"/>
      <c r="K229" s="143" t="str">
        <f>'Planilha orç.'!E65</f>
        <v>UN</v>
      </c>
    </row>
    <row r="230" spans="1:11" ht="12.75" customHeight="1">
      <c r="A230" s="147"/>
      <c r="B230" s="78"/>
      <c r="C230" s="79"/>
      <c r="D230" s="84"/>
      <c r="E230" s="84"/>
      <c r="F230" s="84"/>
      <c r="G230" s="84"/>
      <c r="H230" s="84"/>
      <c r="I230" s="84"/>
      <c r="J230" s="84"/>
      <c r="K230" s="144">
        <v>3</v>
      </c>
    </row>
    <row r="231" spans="1:11" ht="6" customHeight="1">
      <c r="A231" s="224"/>
      <c r="B231" s="225"/>
      <c r="C231" s="225"/>
      <c r="D231" s="225"/>
      <c r="E231" s="225"/>
      <c r="F231" s="225"/>
      <c r="G231" s="225"/>
      <c r="H231" s="225"/>
      <c r="I231" s="225"/>
      <c r="J231" s="225"/>
      <c r="K231" s="226"/>
    </row>
    <row r="232" spans="1:11" ht="12.75" customHeight="1">
      <c r="A232" s="148">
        <f>'Planilha orç.'!A66</f>
        <v>6</v>
      </c>
      <c r="B232" s="221" t="str">
        <f>'Planilha orç.'!D66</f>
        <v>COBERTURA E PROTEÇÕES</v>
      </c>
      <c r="C232" s="222"/>
      <c r="D232" s="222"/>
      <c r="E232" s="222"/>
      <c r="F232" s="222"/>
      <c r="G232" s="222"/>
      <c r="H232" s="222"/>
      <c r="I232" s="222"/>
      <c r="J232" s="222"/>
      <c r="K232" s="223"/>
    </row>
    <row r="233" spans="1:11" ht="27.75" customHeight="1">
      <c r="A233" s="142" t="str">
        <f>'Planilha orç.'!A67</f>
        <v>6.1</v>
      </c>
      <c r="B233" s="78" t="str">
        <f>'Planilha orç.'!B67</f>
        <v>SINAPI</v>
      </c>
      <c r="C233" s="82" t="str">
        <f>'Planilha orç.'!C67</f>
        <v>92541</v>
      </c>
      <c r="D233" s="219" t="str">
        <f>'Planilha orç.'!D67</f>
        <v>TRAMA DE MADEIRA COMPOSTA POR RIPAS, CAIBROS E TERÇAS PARA TELHADOS DE ATÉ 2 ÁGUAS PARA TELHA CERÂMICA CAPA-CANAL, INCLUSO TRANSPORTE VERTICAL. AF_07/2019</v>
      </c>
      <c r="E233" s="220"/>
      <c r="F233" s="220"/>
      <c r="G233" s="220"/>
      <c r="H233" s="220"/>
      <c r="I233" s="220"/>
      <c r="J233" s="220"/>
      <c r="K233" s="143" t="str">
        <f>'Planilha orç.'!E67</f>
        <v>M2</v>
      </c>
    </row>
    <row r="234" spans="1:11" ht="12.75" customHeight="1">
      <c r="A234" s="142"/>
      <c r="B234" s="78"/>
      <c r="C234" s="82"/>
      <c r="D234" s="83"/>
      <c r="E234" s="73"/>
      <c r="F234" s="73"/>
      <c r="G234" s="73" t="s">
        <v>79</v>
      </c>
      <c r="H234" s="73"/>
      <c r="I234" s="73" t="s">
        <v>411</v>
      </c>
      <c r="J234" s="73"/>
      <c r="K234" s="143"/>
    </row>
    <row r="235" spans="1:11" ht="12.75" customHeight="1">
      <c r="A235" s="142"/>
      <c r="B235" s="78"/>
      <c r="C235" s="82"/>
      <c r="D235" s="83"/>
      <c r="E235" s="73"/>
      <c r="F235" s="73"/>
      <c r="G235" s="73">
        <v>10.15</v>
      </c>
      <c r="H235" s="71" t="s">
        <v>82</v>
      </c>
      <c r="I235" s="73">
        <v>9.4499999999999993</v>
      </c>
      <c r="J235" s="71" t="s">
        <v>83</v>
      </c>
      <c r="K235" s="143">
        <f>ROUND(G235*I235,2)</f>
        <v>95.92</v>
      </c>
    </row>
    <row r="236" spans="1:11" ht="12.75" customHeight="1">
      <c r="A236" s="147"/>
      <c r="B236" s="78"/>
      <c r="C236" s="79"/>
      <c r="D236" s="84"/>
      <c r="E236" s="84"/>
      <c r="F236" s="84"/>
      <c r="G236" s="84"/>
      <c r="H236" s="84"/>
      <c r="I236" s="84"/>
      <c r="J236" s="84"/>
      <c r="K236" s="144">
        <f>K235</f>
        <v>95.92</v>
      </c>
    </row>
    <row r="237" spans="1:11" ht="27.75" customHeight="1">
      <c r="A237" s="142" t="str">
        <f>'Planilha orç.'!A68</f>
        <v>6.2</v>
      </c>
      <c r="B237" s="78" t="str">
        <f>'Planilha orç.'!B68</f>
        <v>SINAPI</v>
      </c>
      <c r="C237" s="82" t="str">
        <f>'Planilha orç.'!C68</f>
        <v>94447</v>
      </c>
      <c r="D237" s="219" t="str">
        <f>'Planilha orç.'!D68</f>
        <v>TELHAMENTO COM TELHA CERÂMICA CAPA-CANAL, TIPO PAULISTA, COM ATÉ 2 ÁGUAS, INCLUSO TRANSPORTE VERTICAL. AF_07/2019</v>
      </c>
      <c r="E237" s="220"/>
      <c r="F237" s="220"/>
      <c r="G237" s="220"/>
      <c r="H237" s="220"/>
      <c r="I237" s="220"/>
      <c r="J237" s="220"/>
      <c r="K237" s="143" t="str">
        <f>'Planilha orç.'!E68</f>
        <v>M2</v>
      </c>
    </row>
    <row r="238" spans="1:11" ht="12.75" customHeight="1">
      <c r="A238" s="142"/>
      <c r="B238" s="78"/>
      <c r="C238" s="82"/>
      <c r="D238" s="83"/>
      <c r="E238" s="73"/>
      <c r="F238" s="73"/>
      <c r="G238" s="73" t="s">
        <v>79</v>
      </c>
      <c r="H238" s="73"/>
      <c r="I238" s="73" t="s">
        <v>411</v>
      </c>
      <c r="J238" s="73"/>
      <c r="K238" s="143"/>
    </row>
    <row r="239" spans="1:11" ht="12.75" customHeight="1">
      <c r="A239" s="142"/>
      <c r="B239" s="78"/>
      <c r="C239" s="82"/>
      <c r="D239" s="83"/>
      <c r="E239" s="73"/>
      <c r="F239" s="73"/>
      <c r="G239" s="73">
        <v>10.15</v>
      </c>
      <c r="H239" s="71" t="s">
        <v>82</v>
      </c>
      <c r="I239" s="73">
        <v>9.4499999999999993</v>
      </c>
      <c r="J239" s="71" t="s">
        <v>83</v>
      </c>
      <c r="K239" s="143">
        <f>ROUND(G239*I239,2)</f>
        <v>95.92</v>
      </c>
    </row>
    <row r="240" spans="1:11" ht="12.75" customHeight="1">
      <c r="A240" s="147"/>
      <c r="B240" s="78"/>
      <c r="C240" s="79"/>
      <c r="D240" s="84"/>
      <c r="E240" s="84"/>
      <c r="F240" s="84"/>
      <c r="G240" s="84"/>
      <c r="H240" s="84"/>
      <c r="I240" s="84"/>
      <c r="J240" s="84"/>
      <c r="K240" s="144">
        <f>K239</f>
        <v>95.92</v>
      </c>
    </row>
    <row r="241" spans="1:11" ht="12.75" customHeight="1">
      <c r="A241" s="142" t="str">
        <f>'Planilha orç.'!A69</f>
        <v>6.3</v>
      </c>
      <c r="B241" s="78" t="str">
        <f>'Planilha orç.'!B69</f>
        <v>SINAPI</v>
      </c>
      <c r="C241" s="82" t="str">
        <f>'Planilha orç.'!C69</f>
        <v>102233</v>
      </c>
      <c r="D241" s="219" t="str">
        <f>'Planilha orç.'!D69</f>
        <v>PINTURA IMUNIZANTE PARA MADEIRA, 1 DEMÃO. AF_01/2021</v>
      </c>
      <c r="E241" s="220"/>
      <c r="F241" s="220"/>
      <c r="G241" s="220"/>
      <c r="H241" s="220"/>
      <c r="I241" s="220"/>
      <c r="J241" s="220"/>
      <c r="K241" s="143" t="str">
        <f>'Planilha orç.'!E69</f>
        <v>M2</v>
      </c>
    </row>
    <row r="242" spans="1:11" ht="12.75" customHeight="1">
      <c r="A242" s="142"/>
      <c r="B242" s="78"/>
      <c r="C242" s="82"/>
      <c r="D242" s="83"/>
      <c r="E242" s="73" t="s">
        <v>339</v>
      </c>
      <c r="F242" s="73"/>
      <c r="G242" s="73" t="s">
        <v>79</v>
      </c>
      <c r="H242" s="73"/>
      <c r="I242" s="73" t="s">
        <v>411</v>
      </c>
      <c r="J242" s="73"/>
      <c r="K242" s="143"/>
    </row>
    <row r="243" spans="1:11" ht="12.75" customHeight="1">
      <c r="A243" s="142"/>
      <c r="B243" s="78"/>
      <c r="C243" s="82"/>
      <c r="D243" s="83"/>
      <c r="E243" s="73">
        <v>1</v>
      </c>
      <c r="F243" s="73"/>
      <c r="G243" s="73">
        <v>10.15</v>
      </c>
      <c r="H243" s="71" t="s">
        <v>82</v>
      </c>
      <c r="I243" s="73">
        <v>1.0249999999999999</v>
      </c>
      <c r="J243" s="71" t="s">
        <v>83</v>
      </c>
      <c r="K243" s="143">
        <f>ROUND(E243*G243*I243,2)</f>
        <v>10.4</v>
      </c>
    </row>
    <row r="244" spans="1:11" ht="12.75" customHeight="1">
      <c r="A244" s="142"/>
      <c r="B244" s="78"/>
      <c r="C244" s="82"/>
      <c r="D244" s="83"/>
      <c r="E244" s="73">
        <v>1</v>
      </c>
      <c r="F244" s="73"/>
      <c r="G244" s="73">
        <v>10.15</v>
      </c>
      <c r="H244" s="71" t="s">
        <v>82</v>
      </c>
      <c r="I244" s="73">
        <v>0.625</v>
      </c>
      <c r="J244" s="71" t="s">
        <v>83</v>
      </c>
      <c r="K244" s="143">
        <f t="shared" ref="K244:K245" si="11">ROUND(E244*G244*I244,2)</f>
        <v>6.34</v>
      </c>
    </row>
    <row r="245" spans="1:11" ht="12.75" customHeight="1">
      <c r="A245" s="142"/>
      <c r="B245" s="78"/>
      <c r="C245" s="82"/>
      <c r="D245" s="83"/>
      <c r="E245" s="73">
        <v>2</v>
      </c>
      <c r="F245" s="73"/>
      <c r="G245" s="73">
        <f>9.45-1.025-0.625</f>
        <v>7.8</v>
      </c>
      <c r="H245" s="71" t="s">
        <v>82</v>
      </c>
      <c r="I245" s="73">
        <v>0.6</v>
      </c>
      <c r="J245" s="71" t="s">
        <v>83</v>
      </c>
      <c r="K245" s="143">
        <f t="shared" si="11"/>
        <v>9.36</v>
      </c>
    </row>
    <row r="246" spans="1:11" ht="12.75" customHeight="1">
      <c r="A246" s="147"/>
      <c r="B246" s="78"/>
      <c r="C246" s="79"/>
      <c r="D246" s="83"/>
      <c r="E246" s="84"/>
      <c r="F246" s="84"/>
      <c r="G246" s="84"/>
      <c r="H246" s="84"/>
      <c r="I246" s="84"/>
      <c r="J246" s="84"/>
      <c r="K246" s="144">
        <f>SUM(K243:K245)</f>
        <v>26.1</v>
      </c>
    </row>
    <row r="247" spans="1:11" ht="12.75" customHeight="1">
      <c r="A247" s="142" t="str">
        <f>'Planilha orç.'!A70</f>
        <v>6.4</v>
      </c>
      <c r="B247" s="78" t="str">
        <f>'Planilha orç.'!B70</f>
        <v>SINAPI</v>
      </c>
      <c r="C247" s="82" t="str">
        <f>'Planilha orç.'!C70</f>
        <v>94232</v>
      </c>
      <c r="D247" s="219" t="str">
        <f>'Planilha orç.'!D70</f>
        <v>AMARRAÇÃO DE TELHAS CERÂMICAS OU DE CONCRETO. AF_07/2019</v>
      </c>
      <c r="E247" s="220"/>
      <c r="F247" s="220"/>
      <c r="G247" s="220"/>
      <c r="H247" s="220"/>
      <c r="I247" s="220"/>
      <c r="J247" s="220"/>
      <c r="K247" s="143" t="str">
        <f>'Planilha orç.'!E70</f>
        <v>UN</v>
      </c>
    </row>
    <row r="248" spans="1:11" ht="12.75" customHeight="1">
      <c r="A248" s="142"/>
      <c r="B248" s="78"/>
      <c r="C248" s="82"/>
      <c r="D248" s="83"/>
      <c r="E248" s="73" t="s">
        <v>85</v>
      </c>
      <c r="F248" s="73"/>
      <c r="G248" s="73" t="s">
        <v>412</v>
      </c>
      <c r="H248" s="73"/>
      <c r="I248" s="73" t="s">
        <v>413</v>
      </c>
      <c r="J248" s="73"/>
      <c r="K248" s="143"/>
    </row>
    <row r="249" spans="1:11" ht="12.75" customHeight="1">
      <c r="A249" s="142"/>
      <c r="B249" s="78"/>
      <c r="C249" s="82"/>
      <c r="D249" s="83"/>
      <c r="E249" s="87">
        <f>K240</f>
        <v>95.92</v>
      </c>
      <c r="F249" s="73" t="s">
        <v>82</v>
      </c>
      <c r="G249" s="73">
        <v>26</v>
      </c>
      <c r="H249" s="73" t="s">
        <v>82</v>
      </c>
      <c r="I249" s="131">
        <v>0.25</v>
      </c>
      <c r="J249" s="71" t="s">
        <v>83</v>
      </c>
      <c r="K249" s="143">
        <f>ROUND(E249*G249*I249,2)</f>
        <v>623.48</v>
      </c>
    </row>
    <row r="250" spans="1:11" ht="12.75" customHeight="1">
      <c r="A250" s="147"/>
      <c r="B250" s="78"/>
      <c r="C250" s="79"/>
      <c r="D250" s="84"/>
      <c r="E250" s="84"/>
      <c r="F250" s="84"/>
      <c r="G250" s="84"/>
      <c r="H250" s="84"/>
      <c r="I250" s="84"/>
      <c r="J250" s="84"/>
      <c r="K250" s="144">
        <f>K249</f>
        <v>623.48</v>
      </c>
    </row>
    <row r="251" spans="1:11" ht="25.5" customHeight="1">
      <c r="A251" s="142" t="str">
        <f>'Planilha orç.'!A71</f>
        <v>6.5</v>
      </c>
      <c r="B251" s="78" t="str">
        <f>'Planilha orç.'!B71</f>
        <v>SINAPI</v>
      </c>
      <c r="C251" s="82" t="str">
        <f>'Planilha orç.'!C71</f>
        <v>94221</v>
      </c>
      <c r="D251" s="219" t="str">
        <f>'Planilha orç.'!D71</f>
        <v>CUMEEIRA PARA TELHA CERÂMICA EMBOÇADA COM ARGAMASSA TRAÇO 1:2:9 (CIMENTO, CAL E AREIA) PARA TELHADOS COM ATÉ 2 ÁGUAS, INCLUSO TRANSPORTE VERTICAL. AF_07/2019</v>
      </c>
      <c r="E251" s="220"/>
      <c r="F251" s="220"/>
      <c r="G251" s="220"/>
      <c r="H251" s="220"/>
      <c r="I251" s="220"/>
      <c r="J251" s="220"/>
      <c r="K251" s="143" t="str">
        <f>'Planilha orç.'!E71</f>
        <v>M</v>
      </c>
    </row>
    <row r="252" spans="1:11" ht="12.75" customHeight="1">
      <c r="A252" s="147"/>
      <c r="B252" s="78"/>
      <c r="C252" s="79"/>
      <c r="D252" s="84"/>
      <c r="E252" s="84"/>
      <c r="F252" s="84"/>
      <c r="G252" s="84"/>
      <c r="H252" s="84"/>
      <c r="I252" s="84"/>
      <c r="J252" s="84"/>
      <c r="K252" s="144">
        <v>10.15</v>
      </c>
    </row>
    <row r="253" spans="1:11" ht="26.25" customHeight="1">
      <c r="A253" s="142" t="str">
        <f>'Planilha orç.'!A72</f>
        <v>6.6</v>
      </c>
      <c r="B253" s="78" t="str">
        <f>'Planilha orç.'!B72</f>
        <v>SINAPI</v>
      </c>
      <c r="C253" s="82" t="str">
        <f>'Planilha orç.'!C72</f>
        <v>92548</v>
      </c>
      <c r="D253" s="219" t="str">
        <f>'Planilha orç.'!D72</f>
        <v>FABRICAÇÃO E INSTALAÇÃO DE TESOURA INTEIRA EM MADEIRA NÃO APARELHADA, VÃO DE 6 M, PARA TELHA CERÂMICA OU DE CONCRETO, INCLUSO IÇAMENTO. AF_07/2019</v>
      </c>
      <c r="E253" s="220"/>
      <c r="F253" s="220"/>
      <c r="G253" s="220"/>
      <c r="H253" s="220"/>
      <c r="I253" s="220"/>
      <c r="J253" s="220"/>
      <c r="K253" s="143" t="str">
        <f>'Planilha orç.'!E72</f>
        <v>UN</v>
      </c>
    </row>
    <row r="254" spans="1:11" ht="12.75" customHeight="1">
      <c r="A254" s="147"/>
      <c r="B254" s="78"/>
      <c r="C254" s="79"/>
      <c r="D254" s="84"/>
      <c r="E254" s="84"/>
      <c r="F254" s="84"/>
      <c r="G254" s="84"/>
      <c r="H254" s="84"/>
      <c r="I254" s="84"/>
      <c r="J254" s="84"/>
      <c r="K254" s="144">
        <v>2</v>
      </c>
    </row>
    <row r="255" spans="1:11" ht="4.5" customHeight="1">
      <c r="A255" s="224"/>
      <c r="B255" s="225"/>
      <c r="C255" s="225"/>
      <c r="D255" s="225"/>
      <c r="E255" s="225"/>
      <c r="F255" s="225"/>
      <c r="G255" s="225"/>
      <c r="H255" s="225"/>
      <c r="I255" s="225"/>
      <c r="J255" s="225"/>
      <c r="K255" s="226"/>
    </row>
    <row r="256" spans="1:11">
      <c r="A256" s="141">
        <f>'Planilha orç.'!A73</f>
        <v>7</v>
      </c>
      <c r="B256" s="261" t="str">
        <f>'Planilha orç.'!D73</f>
        <v>REVESTIMENTOS</v>
      </c>
      <c r="C256" s="262"/>
      <c r="D256" s="262"/>
      <c r="E256" s="262"/>
      <c r="F256" s="262"/>
      <c r="G256" s="262"/>
      <c r="H256" s="262"/>
      <c r="I256" s="262"/>
      <c r="J256" s="262"/>
      <c r="K256" s="263"/>
    </row>
    <row r="257" spans="1:11" ht="26.25" customHeight="1">
      <c r="A257" s="142" t="str">
        <f>'Planilha orç.'!A75</f>
        <v>7.1.1</v>
      </c>
      <c r="B257" s="78" t="str">
        <f>'Planilha orç.'!B75</f>
        <v>SINAPI</v>
      </c>
      <c r="C257" s="82" t="str">
        <f>'Planilha orç.'!C75</f>
        <v>87879</v>
      </c>
      <c r="D257" s="219" t="str">
        <f>'Planilha orç.'!D75</f>
        <v>CHAPISCO APLICADO EM ALVENARIAS E ESTRUTURAS DE CONCRETO INTERNAS, COM COLHER DE PEDREIRO. ARGAMASSA TRAÇO 1:3 COM PREPARO EM BETONEIRA 400L. AF_10/2022</v>
      </c>
      <c r="E257" s="220"/>
      <c r="F257" s="220"/>
      <c r="G257" s="220"/>
      <c r="H257" s="220"/>
      <c r="I257" s="220"/>
      <c r="J257" s="220"/>
      <c r="K257" s="143" t="str">
        <f>'Planilha orç.'!E75</f>
        <v>M2</v>
      </c>
    </row>
    <row r="258" spans="1:11">
      <c r="A258" s="142"/>
      <c r="B258" s="78"/>
      <c r="C258" s="82"/>
      <c r="D258" s="83"/>
      <c r="E258" s="73" t="s">
        <v>431</v>
      </c>
      <c r="F258" s="73"/>
      <c r="G258" s="73" t="s">
        <v>80</v>
      </c>
      <c r="H258" s="73"/>
      <c r="I258" s="73" t="s">
        <v>402</v>
      </c>
      <c r="J258" s="73"/>
      <c r="K258" s="143"/>
    </row>
    <row r="259" spans="1:11">
      <c r="A259" s="142"/>
      <c r="B259" s="78"/>
      <c r="C259" s="82"/>
      <c r="D259" s="83" t="s">
        <v>426</v>
      </c>
      <c r="E259" s="73">
        <f>2.95*2+1.49*2</f>
        <v>8.8800000000000008</v>
      </c>
      <c r="F259" s="71" t="s">
        <v>82</v>
      </c>
      <c r="G259" s="73">
        <v>2.8</v>
      </c>
      <c r="H259" s="71" t="s">
        <v>127</v>
      </c>
      <c r="I259" s="122">
        <f>2.1*0.9</f>
        <v>1.89</v>
      </c>
      <c r="J259" s="71" t="s">
        <v>83</v>
      </c>
      <c r="K259" s="143">
        <f>ROUND(E259*G259-I259,2)</f>
        <v>22.97</v>
      </c>
    </row>
    <row r="260" spans="1:11">
      <c r="A260" s="142"/>
      <c r="B260" s="78"/>
      <c r="C260" s="82"/>
      <c r="D260" s="83" t="s">
        <v>419</v>
      </c>
      <c r="E260" s="73">
        <f>2.99*2+4.21*2</f>
        <v>14.4</v>
      </c>
      <c r="F260" s="71" t="s">
        <v>82</v>
      </c>
      <c r="G260" s="73">
        <v>2.8</v>
      </c>
      <c r="H260" s="71" t="s">
        <v>127</v>
      </c>
      <c r="I260" s="122">
        <f>1.12*2.4+1.2*2.4+1.5*0.9+1.5*1.2+2.1*0.9</f>
        <v>10.61</v>
      </c>
      <c r="J260" s="71" t="s">
        <v>83</v>
      </c>
      <c r="K260" s="143">
        <f t="shared" ref="K260:K267" si="12">ROUND(E260*G260-I260,2)</f>
        <v>29.71</v>
      </c>
    </row>
    <row r="261" spans="1:11">
      <c r="A261" s="142"/>
      <c r="B261" s="78"/>
      <c r="C261" s="82"/>
      <c r="D261" s="83" t="s">
        <v>427</v>
      </c>
      <c r="E261" s="73">
        <v>2.0499999999999998</v>
      </c>
      <c r="F261" s="71" t="s">
        <v>82</v>
      </c>
      <c r="G261" s="73">
        <v>1.31</v>
      </c>
      <c r="H261" s="71" t="s">
        <v>127</v>
      </c>
      <c r="I261" s="122"/>
      <c r="J261" s="71" t="s">
        <v>83</v>
      </c>
      <c r="K261" s="143">
        <f t="shared" si="12"/>
        <v>2.69</v>
      </c>
    </row>
    <row r="262" spans="1:11">
      <c r="A262" s="142"/>
      <c r="B262" s="78"/>
      <c r="C262" s="82"/>
      <c r="D262" s="83" t="s">
        <v>420</v>
      </c>
      <c r="E262" s="73">
        <f>3.03*2+2.19*2</f>
        <v>10.44</v>
      </c>
      <c r="F262" s="71" t="s">
        <v>82</v>
      </c>
      <c r="G262" s="73">
        <v>2.8</v>
      </c>
      <c r="H262" s="71" t="s">
        <v>127</v>
      </c>
      <c r="I262" s="122">
        <f>1.5*1.2+2.1*0.9+1.2*2.4</f>
        <v>6.57</v>
      </c>
      <c r="J262" s="71" t="s">
        <v>83</v>
      </c>
      <c r="K262" s="143">
        <f t="shared" si="12"/>
        <v>22.66</v>
      </c>
    </row>
    <row r="263" spans="1:11">
      <c r="A263" s="142"/>
      <c r="B263" s="78"/>
      <c r="C263" s="82"/>
      <c r="D263" s="83" t="s">
        <v>421</v>
      </c>
      <c r="E263" s="73">
        <f>2.67*2+3.09*2</f>
        <v>11.52</v>
      </c>
      <c r="F263" s="71" t="s">
        <v>82</v>
      </c>
      <c r="G263" s="73">
        <v>2.8</v>
      </c>
      <c r="H263" s="71" t="s">
        <v>127</v>
      </c>
      <c r="I263" s="122">
        <f>1.5*1.2+2.1*0.9</f>
        <v>3.69</v>
      </c>
      <c r="J263" s="71" t="s">
        <v>83</v>
      </c>
      <c r="K263" s="143">
        <f t="shared" si="12"/>
        <v>28.57</v>
      </c>
    </row>
    <row r="264" spans="1:11">
      <c r="A264" s="142"/>
      <c r="B264" s="78"/>
      <c r="C264" s="82"/>
      <c r="D264" s="83" t="s">
        <v>422</v>
      </c>
      <c r="E264" s="73">
        <f>2.7*2+3.09*2</f>
        <v>11.58</v>
      </c>
      <c r="F264" s="71" t="s">
        <v>82</v>
      </c>
      <c r="G264" s="73">
        <v>2.8</v>
      </c>
      <c r="H264" s="71" t="s">
        <v>127</v>
      </c>
      <c r="I264" s="122">
        <f t="shared" ref="I264:I265" si="13">1.5*1.2+2.1*0.9</f>
        <v>3.69</v>
      </c>
      <c r="J264" s="71" t="s">
        <v>83</v>
      </c>
      <c r="K264" s="143">
        <f t="shared" si="12"/>
        <v>28.73</v>
      </c>
    </row>
    <row r="265" spans="1:11">
      <c r="A265" s="142"/>
      <c r="B265" s="78"/>
      <c r="C265" s="82"/>
      <c r="D265" s="83" t="s">
        <v>423</v>
      </c>
      <c r="E265" s="73">
        <f>3.82*2+2.95*2</f>
        <v>13.54</v>
      </c>
      <c r="F265" s="71" t="s">
        <v>82</v>
      </c>
      <c r="G265" s="73">
        <v>2.8</v>
      </c>
      <c r="H265" s="71" t="s">
        <v>127</v>
      </c>
      <c r="I265" s="122">
        <f t="shared" si="13"/>
        <v>3.69</v>
      </c>
      <c r="J265" s="71" t="s">
        <v>83</v>
      </c>
      <c r="K265" s="143">
        <f t="shared" si="12"/>
        <v>34.22</v>
      </c>
    </row>
    <row r="266" spans="1:11">
      <c r="A266" s="142"/>
      <c r="B266" s="78"/>
      <c r="C266" s="82"/>
      <c r="D266" s="83" t="s">
        <v>424</v>
      </c>
      <c r="E266" s="73">
        <f>5.63*2+1.12*2</f>
        <v>13.5</v>
      </c>
      <c r="F266" s="71" t="s">
        <v>82</v>
      </c>
      <c r="G266" s="73">
        <v>2.8</v>
      </c>
      <c r="H266" s="71" t="s">
        <v>127</v>
      </c>
      <c r="I266" s="122">
        <f>ROUND(1.12*2.4+2.1*0.9*4,2)</f>
        <v>10.25</v>
      </c>
      <c r="J266" s="71" t="s">
        <v>83</v>
      </c>
      <c r="K266" s="143">
        <f t="shared" si="12"/>
        <v>27.55</v>
      </c>
    </row>
    <row r="267" spans="1:11">
      <c r="A267" s="142"/>
      <c r="B267" s="78"/>
      <c r="C267" s="82"/>
      <c r="D267" s="83" t="s">
        <v>425</v>
      </c>
      <c r="E267" s="73">
        <f>0.8*2+3.03*2</f>
        <v>7.66</v>
      </c>
      <c r="F267" s="71" t="s">
        <v>82</v>
      </c>
      <c r="G267" s="73">
        <v>2.8</v>
      </c>
      <c r="H267" s="71" t="s">
        <v>127</v>
      </c>
      <c r="I267" s="122">
        <f>1.5*1.2+2.1*0.9+3.03*2.4</f>
        <v>10.96</v>
      </c>
      <c r="J267" s="71" t="s">
        <v>83</v>
      </c>
      <c r="K267" s="143">
        <f t="shared" si="12"/>
        <v>10.49</v>
      </c>
    </row>
    <row r="268" spans="1:11">
      <c r="A268" s="142"/>
      <c r="B268" s="78"/>
      <c r="C268" s="82"/>
      <c r="D268" s="83"/>
      <c r="E268" s="73"/>
      <c r="F268" s="73"/>
      <c r="G268" s="73"/>
      <c r="H268" s="73"/>
      <c r="I268" s="73"/>
      <c r="J268" s="73"/>
      <c r="K268" s="144">
        <f>SUM(K259:K267)</f>
        <v>207.59</v>
      </c>
    </row>
    <row r="269" spans="1:11" ht="4.5" customHeight="1">
      <c r="A269" s="224"/>
      <c r="B269" s="225"/>
      <c r="C269" s="225"/>
      <c r="D269" s="225"/>
      <c r="E269" s="225"/>
      <c r="F269" s="225"/>
      <c r="G269" s="225"/>
      <c r="H269" s="225"/>
      <c r="I269" s="225"/>
      <c r="J269" s="225"/>
      <c r="K269" s="226"/>
    </row>
    <row r="270" spans="1:11" ht="27.75" customHeight="1">
      <c r="A270" s="142" t="str">
        <f>'Planilha orç.'!A76</f>
        <v>7.1.2</v>
      </c>
      <c r="B270" s="81" t="str">
        <f>'Planilha orç.'!B76</f>
        <v>SINAPI</v>
      </c>
      <c r="C270" s="81" t="str">
        <f>'Planilha orç.'!C76</f>
        <v>87885</v>
      </c>
      <c r="D270" s="219" t="str">
        <f>'Planilha orç.'!D76</f>
        <v>CHAPISCO APLICADO NO TETO OU EM ALVENARIA E ESTRUTURA, COM ROLO PARA TEXTURA ACRÍLICA. ARGAMASSA INDUSTRIALIZADA COM PREPARO EM MISTURADOR 300 KG. AF_10/2022</v>
      </c>
      <c r="E270" s="220"/>
      <c r="F270" s="220"/>
      <c r="G270" s="220"/>
      <c r="H270" s="220"/>
      <c r="I270" s="220"/>
      <c r="J270" s="220"/>
      <c r="K270" s="143" t="str">
        <f>'Planilha orç.'!E76</f>
        <v>M2</v>
      </c>
    </row>
    <row r="271" spans="1:11" ht="12.75" customHeight="1">
      <c r="A271" s="147"/>
      <c r="B271" s="78"/>
      <c r="C271" s="79"/>
      <c r="D271" s="83"/>
      <c r="E271" s="73"/>
      <c r="F271" s="73"/>
      <c r="G271" s="73"/>
      <c r="H271" s="73"/>
      <c r="I271" s="73"/>
      <c r="J271" s="73"/>
      <c r="K271" s="143" t="s">
        <v>126</v>
      </c>
    </row>
    <row r="272" spans="1:11" ht="12.75" customHeight="1">
      <c r="A272" s="147"/>
      <c r="B272" s="78"/>
      <c r="C272" s="79"/>
      <c r="D272" s="83" t="s">
        <v>426</v>
      </c>
      <c r="E272" s="73"/>
      <c r="F272" s="71"/>
      <c r="G272" s="73"/>
      <c r="H272" s="71"/>
      <c r="I272" s="122"/>
      <c r="J272" s="71" t="s">
        <v>83</v>
      </c>
      <c r="K272" s="149">
        <v>4.37</v>
      </c>
    </row>
    <row r="273" spans="1:11" ht="12.75" customHeight="1">
      <c r="A273" s="147"/>
      <c r="B273" s="78"/>
      <c r="C273" s="79"/>
      <c r="D273" s="83" t="s">
        <v>419</v>
      </c>
      <c r="E273" s="73"/>
      <c r="F273" s="71"/>
      <c r="G273" s="73"/>
      <c r="H273" s="71"/>
      <c r="I273" s="122"/>
      <c r="J273" s="71" t="s">
        <v>83</v>
      </c>
      <c r="K273" s="149">
        <v>12.58</v>
      </c>
    </row>
    <row r="274" spans="1:11" ht="12.75" customHeight="1">
      <c r="A274" s="147"/>
      <c r="B274" s="78"/>
      <c r="C274" s="79"/>
      <c r="D274" s="83" t="s">
        <v>420</v>
      </c>
      <c r="E274" s="73"/>
      <c r="F274" s="71"/>
      <c r="G274" s="73"/>
      <c r="H274" s="71"/>
      <c r="I274" s="122"/>
      <c r="J274" s="71" t="s">
        <v>83</v>
      </c>
      <c r="K274" s="149">
        <v>6.89</v>
      </c>
    </row>
    <row r="275" spans="1:11" ht="12.75" customHeight="1">
      <c r="A275" s="147"/>
      <c r="B275" s="78"/>
      <c r="C275" s="79"/>
      <c r="D275" s="83" t="s">
        <v>421</v>
      </c>
      <c r="E275" s="73"/>
      <c r="F275" s="71"/>
      <c r="G275" s="73"/>
      <c r="H275" s="71"/>
      <c r="I275" s="122"/>
      <c r="J275" s="71" t="s">
        <v>83</v>
      </c>
      <c r="K275" s="149">
        <v>8.34</v>
      </c>
    </row>
    <row r="276" spans="1:11" ht="12.75" customHeight="1">
      <c r="A276" s="147"/>
      <c r="B276" s="78"/>
      <c r="C276" s="79"/>
      <c r="D276" s="83" t="s">
        <v>422</v>
      </c>
      <c r="E276" s="73"/>
      <c r="F276" s="71"/>
      <c r="G276" s="73"/>
      <c r="H276" s="71"/>
      <c r="I276" s="122"/>
      <c r="J276" s="71" t="s">
        <v>83</v>
      </c>
      <c r="K276" s="149">
        <v>8.26</v>
      </c>
    </row>
    <row r="277" spans="1:11" ht="12.75" customHeight="1">
      <c r="A277" s="147"/>
      <c r="B277" s="78"/>
      <c r="C277" s="79"/>
      <c r="D277" s="83" t="s">
        <v>423</v>
      </c>
      <c r="E277" s="73"/>
      <c r="F277" s="71"/>
      <c r="G277" s="73"/>
      <c r="H277" s="71"/>
      <c r="I277" s="122"/>
      <c r="J277" s="71" t="s">
        <v>83</v>
      </c>
      <c r="K277" s="149">
        <v>11.27</v>
      </c>
    </row>
    <row r="278" spans="1:11" ht="12.75" customHeight="1">
      <c r="A278" s="147"/>
      <c r="B278" s="78"/>
      <c r="C278" s="79"/>
      <c r="D278" s="83" t="s">
        <v>424</v>
      </c>
      <c r="E278" s="73"/>
      <c r="F278" s="71"/>
      <c r="G278" s="73"/>
      <c r="H278" s="71"/>
      <c r="I278" s="122"/>
      <c r="J278" s="71" t="s">
        <v>83</v>
      </c>
      <c r="K278" s="149">
        <v>6.3</v>
      </c>
    </row>
    <row r="279" spans="1:11" ht="12.75" customHeight="1">
      <c r="A279" s="147"/>
      <c r="B279" s="78"/>
      <c r="C279" s="79"/>
      <c r="D279" s="83" t="s">
        <v>425</v>
      </c>
      <c r="E279" s="73"/>
      <c r="F279" s="71"/>
      <c r="G279" s="73"/>
      <c r="H279" s="71"/>
      <c r="I279" s="122"/>
      <c r="J279" s="71" t="s">
        <v>83</v>
      </c>
      <c r="K279" s="149">
        <v>2.4300000000000002</v>
      </c>
    </row>
    <row r="280" spans="1:11" ht="12.75" customHeight="1">
      <c r="A280" s="147"/>
      <c r="B280" s="78"/>
      <c r="C280" s="79"/>
      <c r="D280" s="84"/>
      <c r="E280" s="84"/>
      <c r="F280" s="84"/>
      <c r="G280" s="84"/>
      <c r="H280" s="84"/>
      <c r="I280" s="84"/>
      <c r="J280" s="84"/>
      <c r="K280" s="144">
        <f>SUM(K272:K279)</f>
        <v>60.44</v>
      </c>
    </row>
    <row r="281" spans="1:11" ht="13.5" customHeight="1">
      <c r="A281" s="145"/>
      <c r="B281" s="119"/>
      <c r="C281" s="120"/>
      <c r="D281" s="121"/>
      <c r="E281" s="121"/>
      <c r="F281" s="121"/>
      <c r="G281" s="121"/>
      <c r="H281" s="121"/>
      <c r="I281" s="121"/>
      <c r="J281" s="121"/>
      <c r="K281" s="146"/>
    </row>
    <row r="282" spans="1:11" ht="28.5" customHeight="1">
      <c r="A282" s="142" t="str">
        <f>'Planilha orç.'!A77</f>
        <v>7.1.3</v>
      </c>
      <c r="B282" s="81" t="str">
        <f>'Planilha orç.'!B77</f>
        <v>SINAPI</v>
      </c>
      <c r="C282" s="81" t="str">
        <f>'Planilha orç.'!C77</f>
        <v>87545</v>
      </c>
      <c r="D282" s="219" t="str">
        <f>'Planilha orç.'!D77</f>
        <v>EMBOÇO, EM ARGAMASSA TRAÇO 1:2:8, PREPARO MECÂNICO, APLICADO MANUALMENTE EM PAREDES INTERNAS, PARA AMBIENTES COM ÁREA MENOR QUE 5M², E = 10MM, COM TALISCAS. AF_03/2024</v>
      </c>
      <c r="E282" s="220"/>
      <c r="F282" s="220"/>
      <c r="G282" s="220"/>
      <c r="H282" s="220"/>
      <c r="I282" s="220"/>
      <c r="J282" s="220"/>
      <c r="K282" s="143" t="str">
        <f>'Planilha orç.'!E77</f>
        <v>M2</v>
      </c>
    </row>
    <row r="283" spans="1:11" ht="13.5" customHeight="1">
      <c r="A283" s="147"/>
      <c r="B283" s="78"/>
      <c r="C283" s="79"/>
      <c r="D283" s="83"/>
      <c r="E283" s="73" t="s">
        <v>431</v>
      </c>
      <c r="F283" s="73"/>
      <c r="G283" s="73" t="s">
        <v>80</v>
      </c>
      <c r="H283" s="73"/>
      <c r="I283" s="73" t="s">
        <v>402</v>
      </c>
      <c r="J283" s="73"/>
      <c r="K283" s="143"/>
    </row>
    <row r="284" spans="1:11" ht="13.5" customHeight="1">
      <c r="A284" s="147"/>
      <c r="B284" s="78"/>
      <c r="C284" s="79"/>
      <c r="D284" s="83" t="s">
        <v>426</v>
      </c>
      <c r="E284" s="73">
        <f>2.95*2+1.49*2</f>
        <v>8.8800000000000008</v>
      </c>
      <c r="F284" s="71" t="s">
        <v>82</v>
      </c>
      <c r="G284" s="73">
        <v>2.8</v>
      </c>
      <c r="H284" s="71" t="s">
        <v>127</v>
      </c>
      <c r="I284" s="122">
        <f>2.1*0.9</f>
        <v>1.89</v>
      </c>
      <c r="J284" s="71" t="s">
        <v>83</v>
      </c>
      <c r="K284" s="143">
        <f>ROUND(E284*G284-I284,2)</f>
        <v>22.97</v>
      </c>
    </row>
    <row r="285" spans="1:11" ht="13.5" customHeight="1">
      <c r="A285" s="147"/>
      <c r="B285" s="78"/>
      <c r="C285" s="79"/>
      <c r="D285" s="83" t="s">
        <v>419</v>
      </c>
      <c r="E285" s="73">
        <f>2.99*2+4.21*2</f>
        <v>14.4</v>
      </c>
      <c r="F285" s="71" t="s">
        <v>82</v>
      </c>
      <c r="G285" s="73">
        <v>2.8</v>
      </c>
      <c r="H285" s="71" t="s">
        <v>127</v>
      </c>
      <c r="I285" s="122">
        <f>1.12*2.4+1.2*2.4+1.5*0.9+1.5*1.2+2.1*0.9</f>
        <v>10.61</v>
      </c>
      <c r="J285" s="71" t="s">
        <v>83</v>
      </c>
      <c r="K285" s="143">
        <f t="shared" ref="K285:K286" si="14">ROUND(E285*G285-I285,2)</f>
        <v>29.71</v>
      </c>
    </row>
    <row r="286" spans="1:11" ht="13.5" customHeight="1">
      <c r="A286" s="147"/>
      <c r="B286" s="78"/>
      <c r="C286" s="79"/>
      <c r="D286" s="83" t="s">
        <v>427</v>
      </c>
      <c r="E286" s="73">
        <v>2.0499999999999998</v>
      </c>
      <c r="F286" s="71" t="s">
        <v>82</v>
      </c>
      <c r="G286" s="73">
        <v>1.31</v>
      </c>
      <c r="H286" s="71" t="s">
        <v>127</v>
      </c>
      <c r="I286" s="122"/>
      <c r="J286" s="71" t="s">
        <v>83</v>
      </c>
      <c r="K286" s="143">
        <f t="shared" si="14"/>
        <v>2.69</v>
      </c>
    </row>
    <row r="287" spans="1:11" ht="13.5" customHeight="1">
      <c r="A287" s="147"/>
      <c r="B287" s="78"/>
      <c r="C287" s="79"/>
      <c r="D287" s="84"/>
      <c r="E287" s="84"/>
      <c r="F287" s="84"/>
      <c r="G287" s="84"/>
      <c r="H287" s="84"/>
      <c r="I287" s="84"/>
      <c r="J287" s="84"/>
      <c r="K287" s="144">
        <f>SUM(K284:K286)</f>
        <v>55.37</v>
      </c>
    </row>
    <row r="288" spans="1:11" ht="13.5" customHeight="1">
      <c r="A288" s="145"/>
      <c r="B288" s="119"/>
      <c r="C288" s="120"/>
      <c r="D288" s="121"/>
      <c r="E288" s="121"/>
      <c r="F288" s="121"/>
      <c r="G288" s="121"/>
      <c r="H288" s="121"/>
      <c r="I288" s="121"/>
      <c r="J288" s="121"/>
      <c r="K288" s="146"/>
    </row>
    <row r="289" spans="1:11" ht="42" customHeight="1">
      <c r="A289" s="142" t="str">
        <f>'Planilha orç.'!A78</f>
        <v>7.1.4</v>
      </c>
      <c r="B289" s="81" t="str">
        <f>'Planilha orç.'!B78</f>
        <v>SINAPI</v>
      </c>
      <c r="C289" s="81" t="str">
        <f>'Planilha orç.'!C78</f>
        <v>87547</v>
      </c>
      <c r="D289" s="219" t="str">
        <f>'Planilha orç.'!D78</f>
        <v>MASSA ÚNICA, EM ARGAMASSA TRAÇO 1:2:8, PREPARO MECÂNICO, APLICADA MANUALMENTE EM PAREDES INTERNAS DE AMBIENTES COM ÁREA ENTRE 5M² E 10M², E = 10MM, COM TALISCAS. AF_03/2024</v>
      </c>
      <c r="E289" s="220"/>
      <c r="F289" s="220"/>
      <c r="G289" s="220"/>
      <c r="H289" s="220"/>
      <c r="I289" s="220"/>
      <c r="J289" s="220"/>
      <c r="K289" s="143" t="str">
        <f>'Planilha orç.'!E78</f>
        <v>M2</v>
      </c>
    </row>
    <row r="290" spans="1:11" ht="13.5" customHeight="1">
      <c r="A290" s="142"/>
      <c r="B290" s="78"/>
      <c r="C290" s="82"/>
      <c r="D290" s="83"/>
      <c r="E290" s="73" t="s">
        <v>431</v>
      </c>
      <c r="F290" s="73"/>
      <c r="G290" s="73" t="s">
        <v>80</v>
      </c>
      <c r="H290" s="73"/>
      <c r="I290" s="73" t="s">
        <v>402</v>
      </c>
      <c r="J290" s="73"/>
      <c r="K290" s="143"/>
    </row>
    <row r="291" spans="1:11" ht="13.5" customHeight="1">
      <c r="A291" s="142"/>
      <c r="B291" s="78"/>
      <c r="C291" s="82"/>
      <c r="D291" s="83" t="s">
        <v>420</v>
      </c>
      <c r="E291" s="73">
        <f>3.03*2+2.19*2</f>
        <v>10.44</v>
      </c>
      <c r="F291" s="71" t="s">
        <v>82</v>
      </c>
      <c r="G291" s="73">
        <v>2.8</v>
      </c>
      <c r="H291" s="71" t="s">
        <v>127</v>
      </c>
      <c r="I291" s="122">
        <f>1.5*1.2+2.1*0.9+1.2*2.4</f>
        <v>6.57</v>
      </c>
      <c r="J291" s="71" t="s">
        <v>83</v>
      </c>
      <c r="K291" s="143">
        <f t="shared" ref="K291:K296" si="15">ROUND(E291*G291-I291,2)</f>
        <v>22.66</v>
      </c>
    </row>
    <row r="292" spans="1:11" ht="13.5" customHeight="1">
      <c r="A292" s="142"/>
      <c r="B292" s="78"/>
      <c r="C292" s="82"/>
      <c r="D292" s="83" t="s">
        <v>421</v>
      </c>
      <c r="E292" s="73">
        <f>2.67*2+3.09*2</f>
        <v>11.52</v>
      </c>
      <c r="F292" s="71" t="s">
        <v>82</v>
      </c>
      <c r="G292" s="73">
        <v>2.8</v>
      </c>
      <c r="H292" s="71" t="s">
        <v>127</v>
      </c>
      <c r="I292" s="122">
        <f>1.5*1.2+2.1*0.9</f>
        <v>3.69</v>
      </c>
      <c r="J292" s="71" t="s">
        <v>83</v>
      </c>
      <c r="K292" s="143">
        <f t="shared" si="15"/>
        <v>28.57</v>
      </c>
    </row>
    <row r="293" spans="1:11" ht="13.5" customHeight="1">
      <c r="A293" s="142"/>
      <c r="B293" s="78"/>
      <c r="C293" s="82"/>
      <c r="D293" s="83" t="s">
        <v>422</v>
      </c>
      <c r="E293" s="73">
        <f>2.7*2+3.09*2</f>
        <v>11.58</v>
      </c>
      <c r="F293" s="71" t="s">
        <v>82</v>
      </c>
      <c r="G293" s="73">
        <v>2.8</v>
      </c>
      <c r="H293" s="71" t="s">
        <v>127</v>
      </c>
      <c r="I293" s="122">
        <f t="shared" ref="I293:I294" si="16">1.5*1.2+2.1*0.9</f>
        <v>3.69</v>
      </c>
      <c r="J293" s="71" t="s">
        <v>83</v>
      </c>
      <c r="K293" s="143">
        <f t="shared" si="15"/>
        <v>28.73</v>
      </c>
    </row>
    <row r="294" spans="1:11" ht="13.5" customHeight="1">
      <c r="A294" s="142"/>
      <c r="B294" s="78"/>
      <c r="C294" s="82"/>
      <c r="D294" s="83" t="s">
        <v>423</v>
      </c>
      <c r="E294" s="73">
        <f>3.82*2+2.95*2</f>
        <v>13.54</v>
      </c>
      <c r="F294" s="71" t="s">
        <v>82</v>
      </c>
      <c r="G294" s="73">
        <v>2.8</v>
      </c>
      <c r="H294" s="71" t="s">
        <v>127</v>
      </c>
      <c r="I294" s="122">
        <f t="shared" si="16"/>
        <v>3.69</v>
      </c>
      <c r="J294" s="71" t="s">
        <v>83</v>
      </c>
      <c r="K294" s="143">
        <f t="shared" si="15"/>
        <v>34.22</v>
      </c>
    </row>
    <row r="295" spans="1:11" ht="13.5" customHeight="1">
      <c r="A295" s="142"/>
      <c r="B295" s="78"/>
      <c r="C295" s="82"/>
      <c r="D295" s="83" t="s">
        <v>424</v>
      </c>
      <c r="E295" s="73">
        <f>5.63*2+1.12*2</f>
        <v>13.5</v>
      </c>
      <c r="F295" s="71" t="s">
        <v>82</v>
      </c>
      <c r="G295" s="73">
        <v>2.8</v>
      </c>
      <c r="H295" s="71" t="s">
        <v>127</v>
      </c>
      <c r="I295" s="122">
        <f>ROUND(1.12*2.4+2.1*0.9*4,2)</f>
        <v>10.25</v>
      </c>
      <c r="J295" s="71" t="s">
        <v>83</v>
      </c>
      <c r="K295" s="143">
        <f t="shared" si="15"/>
        <v>27.55</v>
      </c>
    </row>
    <row r="296" spans="1:11" ht="13.5" customHeight="1">
      <c r="A296" s="142"/>
      <c r="B296" s="78"/>
      <c r="C296" s="82"/>
      <c r="D296" s="83" t="s">
        <v>425</v>
      </c>
      <c r="E296" s="73">
        <f>0.8*2+3.03*2</f>
        <v>7.66</v>
      </c>
      <c r="F296" s="71" t="s">
        <v>82</v>
      </c>
      <c r="G296" s="73">
        <v>2.8</v>
      </c>
      <c r="H296" s="71" t="s">
        <v>127</v>
      </c>
      <c r="I296" s="122">
        <f>1.5*1.2+2.1*0.9+3.03*2.4</f>
        <v>10.96</v>
      </c>
      <c r="J296" s="71" t="s">
        <v>83</v>
      </c>
      <c r="K296" s="143">
        <f t="shared" si="15"/>
        <v>10.49</v>
      </c>
    </row>
    <row r="297" spans="1:11" ht="13.5" customHeight="1">
      <c r="A297" s="142"/>
      <c r="B297" s="78"/>
      <c r="C297" s="82"/>
      <c r="D297" s="83"/>
      <c r="E297" s="84"/>
      <c r="F297" s="84"/>
      <c r="G297" s="84"/>
      <c r="H297" s="84"/>
      <c r="I297" s="84"/>
      <c r="J297" s="84"/>
      <c r="K297" s="144">
        <f>SUM(K291:K296)</f>
        <v>152.22</v>
      </c>
    </row>
    <row r="298" spans="1:11" ht="13.5" customHeight="1">
      <c r="A298" s="224"/>
      <c r="B298" s="225"/>
      <c r="C298" s="225"/>
      <c r="D298" s="225"/>
      <c r="E298" s="225"/>
      <c r="F298" s="225"/>
      <c r="G298" s="225"/>
      <c r="H298" s="225"/>
      <c r="I298" s="225"/>
      <c r="J298" s="225"/>
      <c r="K298" s="226"/>
    </row>
    <row r="299" spans="1:11" ht="39" customHeight="1">
      <c r="A299" s="142" t="str">
        <f>'Planilha orç.'!A79</f>
        <v>7.1.5</v>
      </c>
      <c r="B299" s="81" t="str">
        <f>'Planilha orç.'!B79</f>
        <v>SICOR-MG</v>
      </c>
      <c r="C299" s="81" t="str">
        <f>'Planilha orç.'!C79</f>
        <v>ED-31651</v>
      </c>
      <c r="D299" s="219" t="str">
        <f>'Planilha orç.'!D79</f>
        <v>ESPALA EM CAMADA ÚNICA COM ARGAMASSA, TRAÇO 1:3 (CIMENTO E AREIA), COM ADITIVO IMPERMEABILIZANTE, ESP. 20MM, APLICAÇÃO MANUAL, INCLUSIVE ARGAMASSA COM PREPARO MECANIZADO</v>
      </c>
      <c r="E299" s="220"/>
      <c r="F299" s="220"/>
      <c r="G299" s="220"/>
      <c r="H299" s="220"/>
      <c r="I299" s="220"/>
      <c r="J299" s="220"/>
      <c r="K299" s="143" t="str">
        <f>'Planilha orç.'!E79</f>
        <v>M2</v>
      </c>
    </row>
    <row r="300" spans="1:11" ht="13.5" customHeight="1">
      <c r="A300" s="142"/>
      <c r="B300" s="78"/>
      <c r="C300" s="82"/>
      <c r="D300" s="83"/>
      <c r="E300" s="73"/>
      <c r="F300" s="73"/>
      <c r="G300" s="73"/>
      <c r="H300" s="73"/>
      <c r="I300" s="73"/>
      <c r="J300" s="73"/>
      <c r="K300" s="143" t="s">
        <v>126</v>
      </c>
    </row>
    <row r="301" spans="1:11" ht="13.5" customHeight="1">
      <c r="A301" s="142"/>
      <c r="B301" s="78"/>
      <c r="C301" s="82"/>
      <c r="D301" s="83" t="s">
        <v>420</v>
      </c>
      <c r="E301" s="73"/>
      <c r="F301" s="71"/>
      <c r="G301" s="122">
        <f>2.4*2+1.2</f>
        <v>6</v>
      </c>
      <c r="H301" s="71" t="s">
        <v>82</v>
      </c>
      <c r="I301" s="122">
        <v>0.18</v>
      </c>
      <c r="J301" s="71" t="s">
        <v>83</v>
      </c>
      <c r="K301" s="149">
        <f>ROUND(G301*I301,2)</f>
        <v>1.08</v>
      </c>
    </row>
    <row r="302" spans="1:11" ht="13.5" customHeight="1">
      <c r="A302" s="142"/>
      <c r="B302" s="78"/>
      <c r="C302" s="82"/>
      <c r="D302" s="83" t="s">
        <v>424</v>
      </c>
      <c r="E302" s="73"/>
      <c r="F302" s="71"/>
      <c r="G302" s="122">
        <f>2.4*2+1.12</f>
        <v>5.92</v>
      </c>
      <c r="H302" s="71" t="s">
        <v>82</v>
      </c>
      <c r="I302" s="122">
        <v>0.18</v>
      </c>
      <c r="J302" s="71" t="s">
        <v>83</v>
      </c>
      <c r="K302" s="149">
        <f t="shared" ref="K302:K303" si="17">ROUND(G302*I302,2)</f>
        <v>1.07</v>
      </c>
    </row>
    <row r="303" spans="1:11" ht="13.5" customHeight="1">
      <c r="A303" s="142"/>
      <c r="B303" s="78"/>
      <c r="C303" s="82"/>
      <c r="D303" s="83" t="s">
        <v>425</v>
      </c>
      <c r="E303" s="73"/>
      <c r="F303" s="71"/>
      <c r="G303" s="122">
        <f>2.4*2+3.03</f>
        <v>7.83</v>
      </c>
      <c r="H303" s="71" t="s">
        <v>82</v>
      </c>
      <c r="I303" s="122">
        <v>0.18</v>
      </c>
      <c r="J303" s="71" t="s">
        <v>83</v>
      </c>
      <c r="K303" s="149">
        <f t="shared" si="17"/>
        <v>1.41</v>
      </c>
    </row>
    <row r="304" spans="1:11" ht="13.5" customHeight="1">
      <c r="A304" s="147"/>
      <c r="B304" s="78"/>
      <c r="C304" s="79"/>
      <c r="D304" s="84"/>
      <c r="E304" s="84"/>
      <c r="F304" s="84"/>
      <c r="G304" s="84"/>
      <c r="H304" s="84"/>
      <c r="I304" s="84"/>
      <c r="J304" s="84"/>
      <c r="K304" s="144">
        <f>SUM(K301:K303)</f>
        <v>3.56</v>
      </c>
    </row>
    <row r="305" spans="1:11" ht="13.5" customHeight="1">
      <c r="A305" s="145"/>
      <c r="B305" s="119"/>
      <c r="C305" s="120"/>
      <c r="D305" s="121"/>
      <c r="E305" s="121"/>
      <c r="F305" s="121"/>
      <c r="G305" s="121"/>
      <c r="H305" s="121"/>
      <c r="I305" s="121"/>
      <c r="J305" s="121"/>
      <c r="K305" s="146"/>
    </row>
    <row r="306" spans="1:11" ht="29.25" customHeight="1">
      <c r="A306" s="142" t="str">
        <f>'Planilha orç.'!A80</f>
        <v>7.1.6</v>
      </c>
      <c r="B306" s="81" t="str">
        <f>'Planilha orç.'!B80</f>
        <v>SINAPI</v>
      </c>
      <c r="C306" s="81" t="str">
        <f>'Planilha orç.'!C80</f>
        <v>90408</v>
      </c>
      <c r="D306" s="219" t="str">
        <f>'Planilha orç.'!D80</f>
        <v>MASSA ÚNICA, EM ARGAMASSA TRAÇO 1:2:8, PREPARO MECÂNICO, APLICADA MANUALMENTE EM TETO, E = 10MM, COM TALISCAS. AF_03/2024</v>
      </c>
      <c r="E306" s="220"/>
      <c r="F306" s="220"/>
      <c r="G306" s="220"/>
      <c r="H306" s="220"/>
      <c r="I306" s="220"/>
      <c r="J306" s="220"/>
      <c r="K306" s="143" t="str">
        <f>'Planilha orç.'!E80</f>
        <v>M2</v>
      </c>
    </row>
    <row r="307" spans="1:11" ht="13.5" customHeight="1">
      <c r="A307" s="147"/>
      <c r="B307" s="78"/>
      <c r="C307" s="79"/>
      <c r="D307" s="83"/>
      <c r="E307" s="73"/>
      <c r="F307" s="73"/>
      <c r="G307" s="73"/>
      <c r="H307" s="73"/>
      <c r="I307" s="73"/>
      <c r="J307" s="73"/>
      <c r="K307" s="143" t="s">
        <v>126</v>
      </c>
    </row>
    <row r="308" spans="1:11" ht="13.5" customHeight="1">
      <c r="A308" s="147"/>
      <c r="B308" s="78"/>
      <c r="C308" s="79"/>
      <c r="D308" s="83" t="s">
        <v>426</v>
      </c>
      <c r="E308" s="73"/>
      <c r="F308" s="71"/>
      <c r="G308" s="73"/>
      <c r="H308" s="71"/>
      <c r="I308" s="122"/>
      <c r="J308" s="71" t="s">
        <v>83</v>
      </c>
      <c r="K308" s="149">
        <v>4.37</v>
      </c>
    </row>
    <row r="309" spans="1:11" ht="13.5" customHeight="1">
      <c r="A309" s="147"/>
      <c r="B309" s="78"/>
      <c r="C309" s="79"/>
      <c r="D309" s="83" t="s">
        <v>419</v>
      </c>
      <c r="E309" s="73"/>
      <c r="F309" s="71"/>
      <c r="G309" s="73"/>
      <c r="H309" s="71"/>
      <c r="I309" s="122"/>
      <c r="J309" s="71" t="s">
        <v>83</v>
      </c>
      <c r="K309" s="149">
        <v>12.58</v>
      </c>
    </row>
    <row r="310" spans="1:11" ht="13.5" customHeight="1">
      <c r="A310" s="147"/>
      <c r="B310" s="78"/>
      <c r="C310" s="79"/>
      <c r="D310" s="83" t="s">
        <v>420</v>
      </c>
      <c r="E310" s="73"/>
      <c r="F310" s="71"/>
      <c r="G310" s="73"/>
      <c r="H310" s="71"/>
      <c r="I310" s="122"/>
      <c r="J310" s="71" t="s">
        <v>83</v>
      </c>
      <c r="K310" s="149">
        <v>6.89</v>
      </c>
    </row>
    <row r="311" spans="1:11" ht="13.5" customHeight="1">
      <c r="A311" s="147"/>
      <c r="B311" s="78"/>
      <c r="C311" s="79"/>
      <c r="D311" s="83" t="s">
        <v>421</v>
      </c>
      <c r="E311" s="73"/>
      <c r="F311" s="71"/>
      <c r="G311" s="73"/>
      <c r="H311" s="71"/>
      <c r="I311" s="122"/>
      <c r="J311" s="71" t="s">
        <v>83</v>
      </c>
      <c r="K311" s="149">
        <v>8.34</v>
      </c>
    </row>
    <row r="312" spans="1:11" ht="13.5" customHeight="1">
      <c r="A312" s="147"/>
      <c r="B312" s="78"/>
      <c r="C312" s="79"/>
      <c r="D312" s="83" t="s">
        <v>422</v>
      </c>
      <c r="E312" s="73"/>
      <c r="F312" s="71"/>
      <c r="G312" s="73"/>
      <c r="H312" s="71"/>
      <c r="I312" s="122"/>
      <c r="J312" s="71" t="s">
        <v>83</v>
      </c>
      <c r="K312" s="149">
        <v>8.26</v>
      </c>
    </row>
    <row r="313" spans="1:11" ht="13.5" customHeight="1">
      <c r="A313" s="147"/>
      <c r="B313" s="78"/>
      <c r="C313" s="79"/>
      <c r="D313" s="83" t="s">
        <v>423</v>
      </c>
      <c r="E313" s="73"/>
      <c r="F313" s="71"/>
      <c r="G313" s="73"/>
      <c r="H313" s="71"/>
      <c r="I313" s="122"/>
      <c r="J313" s="71" t="s">
        <v>83</v>
      </c>
      <c r="K313" s="149">
        <v>11.27</v>
      </c>
    </row>
    <row r="314" spans="1:11" ht="13.5" customHeight="1">
      <c r="A314" s="147"/>
      <c r="B314" s="78"/>
      <c r="C314" s="79"/>
      <c r="D314" s="83" t="s">
        <v>424</v>
      </c>
      <c r="E314" s="73"/>
      <c r="F314" s="71"/>
      <c r="G314" s="73"/>
      <c r="H314" s="71"/>
      <c r="I314" s="122"/>
      <c r="J314" s="71" t="s">
        <v>83</v>
      </c>
      <c r="K314" s="149">
        <v>6.3</v>
      </c>
    </row>
    <row r="315" spans="1:11" ht="13.5" customHeight="1">
      <c r="A315" s="147"/>
      <c r="B315" s="78"/>
      <c r="C315" s="79"/>
      <c r="D315" s="83" t="s">
        <v>425</v>
      </c>
      <c r="E315" s="73"/>
      <c r="F315" s="71"/>
      <c r="G315" s="73"/>
      <c r="H315" s="71"/>
      <c r="I315" s="122"/>
      <c r="J315" s="71" t="s">
        <v>83</v>
      </c>
      <c r="K315" s="149">
        <v>2.4300000000000002</v>
      </c>
    </row>
    <row r="316" spans="1:11" ht="12.75" customHeight="1">
      <c r="A316" s="147"/>
      <c r="B316" s="78"/>
      <c r="C316" s="79"/>
      <c r="D316" s="84"/>
      <c r="E316" s="84"/>
      <c r="F316" s="84"/>
      <c r="G316" s="84"/>
      <c r="H316" s="84"/>
      <c r="I316" s="84"/>
      <c r="J316" s="84"/>
      <c r="K316" s="144">
        <f>SUM(K308:K315)</f>
        <v>60.44</v>
      </c>
    </row>
    <row r="317" spans="1:11" ht="12.75" customHeight="1">
      <c r="A317" s="145"/>
      <c r="B317" s="119"/>
      <c r="C317" s="120"/>
      <c r="D317" s="121"/>
      <c r="E317" s="121"/>
      <c r="F317" s="121"/>
      <c r="G317" s="121"/>
      <c r="H317" s="121"/>
      <c r="I317" s="121"/>
      <c r="J317" s="121"/>
      <c r="K317" s="146"/>
    </row>
    <row r="318" spans="1:11" ht="12.75" customHeight="1">
      <c r="A318" s="148" t="str">
        <f>'Planilha orç.'!A81</f>
        <v>7.2</v>
      </c>
      <c r="B318" s="221" t="str">
        <f>'Planilha orç.'!D81</f>
        <v>REVESTIMENTOS CERÂMICOS</v>
      </c>
      <c r="C318" s="222"/>
      <c r="D318" s="222"/>
      <c r="E318" s="222"/>
      <c r="F318" s="222"/>
      <c r="G318" s="222"/>
      <c r="H318" s="222"/>
      <c r="I318" s="222"/>
      <c r="J318" s="222"/>
      <c r="K318" s="223"/>
    </row>
    <row r="319" spans="1:11" ht="27" customHeight="1">
      <c r="A319" s="142" t="str">
        <f>'Planilha orç.'!A82</f>
        <v>7.2.1</v>
      </c>
      <c r="B319" s="81" t="str">
        <f>'Planilha orç.'!B82</f>
        <v>SINAPI</v>
      </c>
      <c r="C319" s="81" t="str">
        <f>'Planilha orç.'!C82</f>
        <v>87273</v>
      </c>
      <c r="D319" s="219" t="str">
        <f>'Planilha orç.'!D82</f>
        <v>REVESTIMENTO CERÂMICO PARA PAREDES INTERNAS COM PLACAS TIPO ESMALTADA DE DIMENSÕES 33X45 CM APLICADAS NA ALTURA INTEIRA DAS PAREDES. AF_02/2023_PE</v>
      </c>
      <c r="E319" s="220"/>
      <c r="F319" s="220"/>
      <c r="G319" s="220"/>
      <c r="H319" s="220"/>
      <c r="I319" s="220"/>
      <c r="J319" s="220"/>
      <c r="K319" s="143" t="str">
        <f>'Planilha orç.'!E82</f>
        <v>M2</v>
      </c>
    </row>
    <row r="320" spans="1:11" ht="12.75" customHeight="1">
      <c r="A320" s="147"/>
      <c r="B320" s="78"/>
      <c r="C320" s="79"/>
      <c r="D320" s="83"/>
      <c r="E320" s="73" t="s">
        <v>431</v>
      </c>
      <c r="F320" s="73"/>
      <c r="G320" s="73" t="s">
        <v>80</v>
      </c>
      <c r="H320" s="73"/>
      <c r="I320" s="73" t="s">
        <v>402</v>
      </c>
      <c r="J320" s="73"/>
      <c r="K320" s="143"/>
    </row>
    <row r="321" spans="1:11" ht="12.75" customHeight="1">
      <c r="A321" s="147"/>
      <c r="B321" s="78"/>
      <c r="C321" s="79"/>
      <c r="D321" s="83" t="s">
        <v>426</v>
      </c>
      <c r="E321" s="73">
        <f>2.95*2+1.49*2</f>
        <v>8.8800000000000008</v>
      </c>
      <c r="F321" s="71" t="s">
        <v>82</v>
      </c>
      <c r="G321" s="73">
        <v>2.8</v>
      </c>
      <c r="H321" s="71" t="s">
        <v>127</v>
      </c>
      <c r="I321" s="122">
        <f>2.1*0.9</f>
        <v>1.89</v>
      </c>
      <c r="J321" s="71" t="s">
        <v>83</v>
      </c>
      <c r="K321" s="143">
        <f>ROUND(E321*G321-I321,2)</f>
        <v>22.97</v>
      </c>
    </row>
    <row r="322" spans="1:11" ht="12.75" customHeight="1">
      <c r="A322" s="147"/>
      <c r="B322" s="78"/>
      <c r="C322" s="79"/>
      <c r="D322" s="83" t="s">
        <v>419</v>
      </c>
      <c r="E322" s="73">
        <f>2.99*2+4.21*2</f>
        <v>14.4</v>
      </c>
      <c r="F322" s="71" t="s">
        <v>82</v>
      </c>
      <c r="G322" s="73">
        <v>2.8</v>
      </c>
      <c r="H322" s="71" t="s">
        <v>127</v>
      </c>
      <c r="I322" s="122">
        <f>1.12*2.4+1.2*2.4+1.5*0.9+1.5*1.2+2.1*0.9</f>
        <v>10.61</v>
      </c>
      <c r="J322" s="71" t="s">
        <v>83</v>
      </c>
      <c r="K322" s="143">
        <f t="shared" ref="K322:K323" si="18">ROUND(E322*G322-I322,2)</f>
        <v>29.71</v>
      </c>
    </row>
    <row r="323" spans="1:11" ht="12.75" customHeight="1">
      <c r="A323" s="147"/>
      <c r="B323" s="78"/>
      <c r="C323" s="79"/>
      <c r="D323" s="83" t="s">
        <v>427</v>
      </c>
      <c r="E323" s="73">
        <v>2.0499999999999998</v>
      </c>
      <c r="F323" s="71" t="s">
        <v>82</v>
      </c>
      <c r="G323" s="73">
        <v>1.31</v>
      </c>
      <c r="H323" s="71" t="s">
        <v>127</v>
      </c>
      <c r="I323" s="122"/>
      <c r="J323" s="71" t="s">
        <v>83</v>
      </c>
      <c r="K323" s="143">
        <f t="shared" si="18"/>
        <v>2.69</v>
      </c>
    </row>
    <row r="324" spans="1:11" ht="12.75" customHeight="1">
      <c r="A324" s="147"/>
      <c r="B324" s="78"/>
      <c r="C324" s="79"/>
      <c r="D324" s="84"/>
      <c r="E324" s="84"/>
      <c r="F324" s="84"/>
      <c r="G324" s="84"/>
      <c r="H324" s="84"/>
      <c r="I324" s="84"/>
      <c r="J324" s="84"/>
      <c r="K324" s="144">
        <f>SUM(K321:K323)</f>
        <v>55.37</v>
      </c>
    </row>
    <row r="325" spans="1:11" ht="12.75" customHeight="1">
      <c r="A325" s="145"/>
      <c r="B325" s="118"/>
      <c r="C325" s="118"/>
      <c r="D325" s="118"/>
      <c r="E325" s="118"/>
      <c r="F325" s="118"/>
      <c r="G325" s="118"/>
      <c r="H325" s="118"/>
      <c r="I325" s="118"/>
      <c r="J325" s="118"/>
      <c r="K325" s="146"/>
    </row>
    <row r="326" spans="1:11" ht="12.75" customHeight="1">
      <c r="A326" s="148" t="str">
        <f>'Planilha orç.'!A83</f>
        <v>7.3</v>
      </c>
      <c r="B326" s="221" t="str">
        <f>'Planilha orç.'!D83</f>
        <v>REVESTIMENTOS EXTERNOS</v>
      </c>
      <c r="C326" s="222"/>
      <c r="D326" s="222"/>
      <c r="E326" s="222"/>
      <c r="F326" s="222"/>
      <c r="G326" s="222"/>
      <c r="H326" s="222"/>
      <c r="I326" s="222"/>
      <c r="J326" s="222"/>
      <c r="K326" s="223"/>
    </row>
    <row r="327" spans="1:11" ht="39" customHeight="1">
      <c r="A327" s="142" t="str">
        <f>'Planilha orç.'!A84</f>
        <v>7.3.1</v>
      </c>
      <c r="B327" s="81" t="str">
        <f>'Planilha orç.'!B84</f>
        <v>SINAPI</v>
      </c>
      <c r="C327" s="81" t="str">
        <f>'Planilha orç.'!C84</f>
        <v>87905</v>
      </c>
      <c r="D327" s="219" t="str">
        <f>'Planilha orç.'!D84</f>
        <v>CHAPISCO APLICADO EM ALVENARIA (COM PRESENÇA DE VÃOS) E ESTRUTURAS DE CONCRETO DE FACHADA, COM COLHER DE PEDREIRO. ARGAMASSA TRAÇO 1:3 COM PREPARO EM BETONEIRA 400L. AF_10/2022</v>
      </c>
      <c r="E327" s="220"/>
      <c r="F327" s="220"/>
      <c r="G327" s="220"/>
      <c r="H327" s="220"/>
      <c r="I327" s="220"/>
      <c r="J327" s="220"/>
      <c r="K327" s="143" t="str">
        <f>'Planilha orç.'!E84</f>
        <v>M2</v>
      </c>
    </row>
    <row r="328" spans="1:11" ht="12.75" customHeight="1">
      <c r="A328" s="147"/>
      <c r="B328" s="78"/>
      <c r="C328" s="79"/>
      <c r="D328" s="84"/>
      <c r="E328" s="73" t="s">
        <v>431</v>
      </c>
      <c r="F328" s="73"/>
      <c r="G328" s="73" t="s">
        <v>80</v>
      </c>
      <c r="H328" s="73"/>
      <c r="I328" s="73" t="s">
        <v>402</v>
      </c>
      <c r="J328" s="73"/>
      <c r="K328" s="143"/>
    </row>
    <row r="329" spans="1:11" ht="12.75" customHeight="1">
      <c r="A329" s="147"/>
      <c r="B329" s="78"/>
      <c r="C329" s="79"/>
      <c r="D329" s="83" t="s">
        <v>428</v>
      </c>
      <c r="E329" s="73">
        <f>7.78*2+8.98*2</f>
        <v>33.520000000000003</v>
      </c>
      <c r="F329" s="71" t="s">
        <v>82</v>
      </c>
      <c r="G329" s="73">
        <v>2.9</v>
      </c>
      <c r="H329" s="71" t="s">
        <v>127</v>
      </c>
      <c r="I329" s="122">
        <f>1.5*1.2*5+1.5*0.9+2.1*0.9*2+3.03*2.4</f>
        <v>21.4</v>
      </c>
      <c r="J329" s="71" t="s">
        <v>83</v>
      </c>
      <c r="K329" s="143">
        <f t="shared" ref="K329" si="19">ROUND(E329*G329-I329,2)</f>
        <v>75.81</v>
      </c>
    </row>
    <row r="330" spans="1:11" ht="12.75" customHeight="1">
      <c r="A330" s="147"/>
      <c r="B330" s="78"/>
      <c r="C330" s="79"/>
      <c r="D330" s="83" t="s">
        <v>432</v>
      </c>
      <c r="E330" s="73"/>
      <c r="F330" s="71"/>
      <c r="G330" s="73"/>
      <c r="H330" s="71"/>
      <c r="I330" s="73"/>
      <c r="J330" s="71" t="s">
        <v>83</v>
      </c>
      <c r="K330" s="143">
        <f>7.175*2</f>
        <v>14.35</v>
      </c>
    </row>
    <row r="331" spans="1:11" ht="12.75" customHeight="1">
      <c r="A331" s="147"/>
      <c r="B331" s="78"/>
      <c r="C331" s="79"/>
      <c r="D331" s="84"/>
      <c r="E331" s="84"/>
      <c r="F331" s="84"/>
      <c r="G331" s="84"/>
      <c r="H331" s="84"/>
      <c r="I331" s="84"/>
      <c r="J331" s="84"/>
      <c r="K331" s="144">
        <f>SUM(K329:K330)</f>
        <v>90.16</v>
      </c>
    </row>
    <row r="332" spans="1:11" ht="12.75" customHeight="1">
      <c r="A332" s="145"/>
      <c r="B332" s="119"/>
      <c r="C332" s="120"/>
      <c r="D332" s="121"/>
      <c r="E332" s="121"/>
      <c r="F332" s="121"/>
      <c r="G332" s="121"/>
      <c r="H332" s="121"/>
      <c r="I332" s="121"/>
      <c r="J332" s="121"/>
      <c r="K332" s="146"/>
    </row>
    <row r="333" spans="1:11" ht="38.25" customHeight="1">
      <c r="A333" s="142" t="str">
        <f>'Planilha orç.'!A85</f>
        <v>7.3.2</v>
      </c>
      <c r="B333" s="81" t="str">
        <f>'Planilha orç.'!B85</f>
        <v>SINAPI</v>
      </c>
      <c r="C333" s="81" t="str">
        <f>'Planilha orç.'!C85</f>
        <v>87792</v>
      </c>
      <c r="D333" s="219" t="str">
        <f>'Planilha orç.'!D85</f>
        <v>EMBOÇO OU MASSA ÚNICA EM ARGAMASSA TRAÇO 1:2:8, PREPARO MECÂNICO COM BETONEIRA 400 L, APLICADA MANUALMENTE EM PANOS CEGOS DE FACHADA (SEM PRESENÇA DE VÃOS), ESPESSURA DE 25 MM. AF_08/2022</v>
      </c>
      <c r="E333" s="220"/>
      <c r="F333" s="220"/>
      <c r="G333" s="220"/>
      <c r="H333" s="220"/>
      <c r="I333" s="220"/>
      <c r="J333" s="220"/>
      <c r="K333" s="143" t="str">
        <f>'Planilha orç.'!E85</f>
        <v>M2</v>
      </c>
    </row>
    <row r="334" spans="1:11" ht="13.5" customHeight="1">
      <c r="A334" s="147"/>
      <c r="B334" s="78"/>
      <c r="C334" s="79"/>
      <c r="D334" s="83"/>
      <c r="E334" s="73" t="s">
        <v>431</v>
      </c>
      <c r="F334" s="73"/>
      <c r="G334" s="73" t="s">
        <v>80</v>
      </c>
      <c r="H334" s="73"/>
      <c r="I334" s="73" t="s">
        <v>402</v>
      </c>
      <c r="J334" s="73"/>
      <c r="K334" s="143"/>
    </row>
    <row r="335" spans="1:11" ht="13.5" customHeight="1">
      <c r="A335" s="147"/>
      <c r="B335" s="78"/>
      <c r="C335" s="79"/>
      <c r="D335" s="83" t="s">
        <v>427</v>
      </c>
      <c r="E335" s="73">
        <v>2.0499999999999998</v>
      </c>
      <c r="F335" s="71" t="s">
        <v>82</v>
      </c>
      <c r="G335" s="73">
        <v>1.31</v>
      </c>
      <c r="H335" s="71" t="s">
        <v>127</v>
      </c>
      <c r="I335" s="122"/>
      <c r="J335" s="71" t="s">
        <v>83</v>
      </c>
      <c r="K335" s="143">
        <f t="shared" ref="K335" si="20">ROUND(E335*G335-I335,2)</f>
        <v>2.69</v>
      </c>
    </row>
    <row r="336" spans="1:11" ht="13.5" customHeight="1">
      <c r="A336" s="147"/>
      <c r="B336" s="78"/>
      <c r="C336" s="79"/>
      <c r="D336" s="84"/>
      <c r="E336" s="84"/>
      <c r="F336" s="84"/>
      <c r="G336" s="84"/>
      <c r="H336" s="84"/>
      <c r="I336" s="84"/>
      <c r="J336" s="84"/>
      <c r="K336" s="144">
        <f>SUM(K335:K335)</f>
        <v>2.69</v>
      </c>
    </row>
    <row r="337" spans="1:11" ht="13.5" customHeight="1">
      <c r="A337" s="145"/>
      <c r="B337" s="119"/>
      <c r="C337" s="120"/>
      <c r="D337" s="121"/>
      <c r="E337" s="121"/>
      <c r="F337" s="121"/>
      <c r="G337" s="121"/>
      <c r="H337" s="121"/>
      <c r="I337" s="121"/>
      <c r="J337" s="121"/>
      <c r="K337" s="146"/>
    </row>
    <row r="338" spans="1:11" ht="40.5" customHeight="1">
      <c r="A338" s="142" t="str">
        <f>'Planilha orç.'!A86</f>
        <v>7.3.3</v>
      </c>
      <c r="B338" s="81" t="str">
        <f>'Planilha orç.'!B86</f>
        <v>SINAPI</v>
      </c>
      <c r="C338" s="81" t="str">
        <f>'Planilha orç.'!C86</f>
        <v>87775</v>
      </c>
      <c r="D338" s="219" t="str">
        <f>'Planilha orç.'!D86</f>
        <v>EMBOÇO OU MASSA ÚNICA EM ARGAMASSA TRAÇO 1:2:8, PREPARO MECÂNICO COM BETONEIRA 400 L, APLICADA MANUALMENTE EM PANOS DE FACHADA COM PRESENÇA DE VÃOS, ESPESSURA DE 25 MM. AF_08/2022</v>
      </c>
      <c r="E338" s="220"/>
      <c r="F338" s="220"/>
      <c r="G338" s="220"/>
      <c r="H338" s="220"/>
      <c r="I338" s="220"/>
      <c r="J338" s="220"/>
      <c r="K338" s="143" t="str">
        <f>'Planilha orç.'!E86</f>
        <v>M2</v>
      </c>
    </row>
    <row r="339" spans="1:11" ht="13.5" customHeight="1">
      <c r="A339" s="142"/>
      <c r="B339" s="81"/>
      <c r="C339" s="81"/>
      <c r="D339" s="83"/>
      <c r="E339" s="73" t="s">
        <v>431</v>
      </c>
      <c r="F339" s="73"/>
      <c r="G339" s="73" t="s">
        <v>80</v>
      </c>
      <c r="H339" s="73"/>
      <c r="I339" s="73" t="s">
        <v>402</v>
      </c>
      <c r="J339" s="73"/>
      <c r="K339" s="143"/>
    </row>
    <row r="340" spans="1:11" ht="13.5" customHeight="1">
      <c r="A340" s="142"/>
      <c r="B340" s="81"/>
      <c r="C340" s="81"/>
      <c r="D340" s="83" t="s">
        <v>428</v>
      </c>
      <c r="E340" s="73">
        <f>7.78*2+8.98*2</f>
        <v>33.520000000000003</v>
      </c>
      <c r="F340" s="71" t="s">
        <v>82</v>
      </c>
      <c r="G340" s="73">
        <v>2.9</v>
      </c>
      <c r="H340" s="71" t="s">
        <v>127</v>
      </c>
      <c r="I340" s="122">
        <f>1.5*1.2*5+1.5*0.9+2.1*0.9*2+2.05*1.31+3.03*2.4</f>
        <v>24.09</v>
      </c>
      <c r="J340" s="71" t="s">
        <v>83</v>
      </c>
      <c r="K340" s="143">
        <f t="shared" ref="K340" si="21">ROUND(E340*G340-I340,2)</f>
        <v>73.12</v>
      </c>
    </row>
    <row r="341" spans="1:11" ht="13.5" customHeight="1">
      <c r="A341" s="142"/>
      <c r="B341" s="81"/>
      <c r="C341" s="81"/>
      <c r="D341" s="83" t="s">
        <v>432</v>
      </c>
      <c r="E341" s="73"/>
      <c r="F341" s="71" t="s">
        <v>82</v>
      </c>
      <c r="G341" s="73"/>
      <c r="H341" s="71" t="s">
        <v>127</v>
      </c>
      <c r="I341" s="73"/>
      <c r="J341" s="71" t="s">
        <v>83</v>
      </c>
      <c r="K341" s="143">
        <f>K330</f>
        <v>14.35</v>
      </c>
    </row>
    <row r="342" spans="1:11" ht="12.75" customHeight="1">
      <c r="A342" s="147"/>
      <c r="B342" s="78"/>
      <c r="C342" s="79"/>
      <c r="D342" s="84"/>
      <c r="E342" s="84"/>
      <c r="F342" s="84"/>
      <c r="G342" s="84"/>
      <c r="H342" s="84"/>
      <c r="I342" s="84"/>
      <c r="J342" s="84"/>
      <c r="K342" s="144">
        <f>SUM(K340:K341)</f>
        <v>87.47</v>
      </c>
    </row>
    <row r="343" spans="1:11" ht="6" customHeight="1">
      <c r="A343" s="145"/>
      <c r="B343" s="119"/>
      <c r="C343" s="120"/>
      <c r="D343" s="121"/>
      <c r="E343" s="121"/>
      <c r="F343" s="121"/>
      <c r="G343" s="121"/>
      <c r="H343" s="121"/>
      <c r="I343" s="121"/>
      <c r="J343" s="121"/>
      <c r="K343" s="146"/>
    </row>
    <row r="344" spans="1:11" ht="12.75" customHeight="1">
      <c r="A344" s="148" t="str">
        <f>'Planilha orç.'!A87</f>
        <v>7.4</v>
      </c>
      <c r="B344" s="221" t="str">
        <f>'Planilha orç.'!D87</f>
        <v xml:space="preserve">PINTURA </v>
      </c>
      <c r="C344" s="222"/>
      <c r="D344" s="222"/>
      <c r="E344" s="222"/>
      <c r="F344" s="222"/>
      <c r="G344" s="222"/>
      <c r="H344" s="222"/>
      <c r="I344" s="222"/>
      <c r="J344" s="222"/>
      <c r="K344" s="223"/>
    </row>
    <row r="345" spans="1:11" ht="12.75" customHeight="1">
      <c r="A345" s="148" t="str">
        <f>'Planilha orç.'!A88</f>
        <v>7.4.1</v>
      </c>
      <c r="B345" s="221" t="str">
        <f>'Planilha orç.'!D88</f>
        <v>PINTURA INTERNA</v>
      </c>
      <c r="C345" s="222"/>
      <c r="D345" s="222"/>
      <c r="E345" s="222"/>
      <c r="F345" s="222"/>
      <c r="G345" s="222"/>
      <c r="H345" s="222"/>
      <c r="I345" s="222"/>
      <c r="J345" s="222"/>
      <c r="K345" s="223"/>
    </row>
    <row r="346" spans="1:11">
      <c r="A346" s="142" t="str">
        <f>'Planilha orç.'!A89</f>
        <v>7.4.1.1</v>
      </c>
      <c r="B346" s="81" t="str">
        <f>'Planilha orç.'!B89</f>
        <v>SINAPI</v>
      </c>
      <c r="C346" s="81" t="str">
        <f>'Planilha orç.'!C89</f>
        <v>88485</v>
      </c>
      <c r="D346" s="219" t="str">
        <f>'Planilha orç.'!D89</f>
        <v>FUNDO SELADOR ACRÍLICO, APLICAÇÃO MANUAL EM PAREDE, UMA DEMÃO. AF_04/2023</v>
      </c>
      <c r="E346" s="220"/>
      <c r="F346" s="220"/>
      <c r="G346" s="220"/>
      <c r="H346" s="220"/>
      <c r="I346" s="220"/>
      <c r="J346" s="220"/>
      <c r="K346" s="143" t="str">
        <f>'Planilha orç.'!E89</f>
        <v>M2</v>
      </c>
    </row>
    <row r="347" spans="1:11">
      <c r="A347" s="142"/>
      <c r="B347" s="81"/>
      <c r="C347" s="81"/>
      <c r="D347" s="84" t="s">
        <v>435</v>
      </c>
      <c r="E347" s="84"/>
      <c r="F347" s="84"/>
      <c r="G347" s="84"/>
      <c r="H347" s="84"/>
      <c r="I347" s="84"/>
      <c r="J347" s="84"/>
      <c r="K347" s="143">
        <f>K297</f>
        <v>152.22</v>
      </c>
    </row>
    <row r="348" spans="1:11">
      <c r="A348" s="142"/>
      <c r="B348" s="81"/>
      <c r="C348" s="81"/>
      <c r="D348" s="84"/>
      <c r="E348" s="84"/>
      <c r="F348" s="84"/>
      <c r="G348" s="84"/>
      <c r="H348" s="84"/>
      <c r="I348" s="84"/>
      <c r="J348" s="84"/>
      <c r="K348" s="144">
        <f>SUM(K347:K347)</f>
        <v>152.22</v>
      </c>
    </row>
    <row r="349" spans="1:11">
      <c r="A349" s="145"/>
      <c r="B349" s="118"/>
      <c r="C349" s="118"/>
      <c r="D349" s="118"/>
      <c r="E349" s="118"/>
      <c r="F349" s="118"/>
      <c r="G349" s="118"/>
      <c r="H349" s="118"/>
      <c r="I349" s="118"/>
      <c r="J349" s="118"/>
      <c r="K349" s="146"/>
    </row>
    <row r="350" spans="1:11">
      <c r="A350" s="142" t="str">
        <f>'Planilha orç.'!A90</f>
        <v>7.4.1.2</v>
      </c>
      <c r="B350" s="81" t="str">
        <f>'Planilha orç.'!B90</f>
        <v>SINAPI</v>
      </c>
      <c r="C350" s="81" t="str">
        <f>'Planilha orç.'!C90</f>
        <v>88484</v>
      </c>
      <c r="D350" s="219" t="str">
        <f>'Planilha orç.'!D90</f>
        <v>FUNDO SELADOR ACRÍLICO, APLICAÇÃO MANUAL EM TETO, UMA DEMÃO. AF_04/2023</v>
      </c>
      <c r="E350" s="220"/>
      <c r="F350" s="220"/>
      <c r="G350" s="220"/>
      <c r="H350" s="220"/>
      <c r="I350" s="220"/>
      <c r="J350" s="220"/>
      <c r="K350" s="143" t="str">
        <f>'Planilha orç.'!E90</f>
        <v>M2</v>
      </c>
    </row>
    <row r="351" spans="1:11">
      <c r="A351" s="147"/>
      <c r="B351" s="78"/>
      <c r="C351" s="79"/>
      <c r="D351" s="84" t="s">
        <v>437</v>
      </c>
      <c r="E351" s="84"/>
      <c r="F351" s="84"/>
      <c r="G351" s="84"/>
      <c r="H351" s="84"/>
      <c r="I351" s="84"/>
      <c r="J351" s="84"/>
      <c r="K351" s="150">
        <f>K316</f>
        <v>60.44</v>
      </c>
    </row>
    <row r="352" spans="1:11">
      <c r="A352" s="147"/>
      <c r="B352" s="78"/>
      <c r="C352" s="79"/>
      <c r="D352" s="84"/>
      <c r="E352" s="84"/>
      <c r="F352" s="84"/>
      <c r="G352" s="84"/>
      <c r="H352" s="84"/>
      <c r="I352" s="84"/>
      <c r="J352" s="84"/>
      <c r="K352" s="144">
        <f>K351</f>
        <v>60.44</v>
      </c>
    </row>
    <row r="353" spans="1:11">
      <c r="A353" s="145"/>
      <c r="B353" s="118"/>
      <c r="C353" s="118"/>
      <c r="D353" s="118"/>
      <c r="E353" s="118"/>
      <c r="F353" s="118"/>
      <c r="G353" s="118"/>
      <c r="H353" s="118"/>
      <c r="I353" s="118"/>
      <c r="J353" s="118"/>
      <c r="K353" s="146"/>
    </row>
    <row r="354" spans="1:11">
      <c r="A354" s="142" t="str">
        <f>'Planilha orç.'!A91</f>
        <v>7.4.1.3</v>
      </c>
      <c r="B354" s="81" t="str">
        <f>'Planilha orç.'!B91</f>
        <v>SINAPI</v>
      </c>
      <c r="C354" s="81" t="str">
        <f>'Planilha orç.'!C91</f>
        <v>104642</v>
      </c>
      <c r="D354" s="219" t="str">
        <f>'Planilha orç.'!D91</f>
        <v>PINTURA LÁTEX ACRÍLICA STANDARD, APLICAÇÃO MANUAL EM PAREDES, DUAS DEMÃOS. AF_04/2023</v>
      </c>
      <c r="E354" s="220"/>
      <c r="F354" s="220"/>
      <c r="G354" s="220"/>
      <c r="H354" s="220"/>
      <c r="I354" s="220"/>
      <c r="J354" s="220"/>
      <c r="K354" s="143" t="str">
        <f>'Planilha orç.'!E91</f>
        <v>M2</v>
      </c>
    </row>
    <row r="355" spans="1:11">
      <c r="A355" s="142"/>
      <c r="B355" s="81"/>
      <c r="C355" s="81"/>
      <c r="D355" s="84" t="s">
        <v>438</v>
      </c>
      <c r="E355" s="73"/>
      <c r="F355" s="73"/>
      <c r="G355" s="73"/>
      <c r="H355" s="73"/>
      <c r="I355" s="73"/>
      <c r="J355" s="73"/>
      <c r="K355" s="143">
        <f>K297</f>
        <v>152.22</v>
      </c>
    </row>
    <row r="356" spans="1:11">
      <c r="A356" s="147"/>
      <c r="B356" s="78"/>
      <c r="C356" s="79"/>
      <c r="D356" s="84"/>
      <c r="E356" s="84"/>
      <c r="F356" s="84"/>
      <c r="G356" s="84"/>
      <c r="H356" s="84"/>
      <c r="I356" s="84"/>
      <c r="J356" s="84"/>
      <c r="K356" s="144">
        <f>K355</f>
        <v>152.22</v>
      </c>
    </row>
    <row r="357" spans="1:11">
      <c r="A357" s="145"/>
      <c r="B357" s="118"/>
      <c r="C357" s="118"/>
      <c r="D357" s="118"/>
      <c r="E357" s="118"/>
      <c r="F357" s="118"/>
      <c r="G357" s="118"/>
      <c r="H357" s="118"/>
      <c r="I357" s="118"/>
      <c r="J357" s="118"/>
      <c r="K357" s="146"/>
    </row>
    <row r="358" spans="1:11">
      <c r="A358" s="142" t="str">
        <f>'Planilha orç.'!A92</f>
        <v>7.4.1.4</v>
      </c>
      <c r="B358" s="81" t="str">
        <f>'Planilha orç.'!B92</f>
        <v>SINAPI</v>
      </c>
      <c r="C358" s="81" t="str">
        <f>'Planilha orç.'!C92</f>
        <v>104639</v>
      </c>
      <c r="D358" s="219" t="str">
        <f>'Planilha orç.'!D92</f>
        <v>PINTURA LÁTEX ACRÍLICA ECONÔMICA, APLICAÇÃO MANUAL EM TETO, DUAS DEMÃOS. AF_04/2023</v>
      </c>
      <c r="E358" s="220"/>
      <c r="F358" s="220"/>
      <c r="G358" s="220"/>
      <c r="H358" s="220"/>
      <c r="I358" s="220"/>
      <c r="J358" s="220"/>
      <c r="K358" s="143" t="str">
        <f>'Planilha orç.'!E92</f>
        <v>M2</v>
      </c>
    </row>
    <row r="359" spans="1:11">
      <c r="A359" s="142"/>
      <c r="B359" s="81"/>
      <c r="C359" s="81"/>
      <c r="D359" s="84" t="s">
        <v>437</v>
      </c>
      <c r="E359" s="73"/>
      <c r="F359" s="73"/>
      <c r="G359" s="73"/>
      <c r="H359" s="73"/>
      <c r="I359" s="73"/>
      <c r="J359" s="73"/>
      <c r="K359" s="143">
        <f>K316</f>
        <v>60.44</v>
      </c>
    </row>
    <row r="360" spans="1:11">
      <c r="A360" s="147"/>
      <c r="B360" s="78"/>
      <c r="C360" s="79"/>
      <c r="D360" s="84"/>
      <c r="E360" s="84"/>
      <c r="F360" s="84"/>
      <c r="G360" s="84"/>
      <c r="H360" s="84"/>
      <c r="I360" s="84"/>
      <c r="J360" s="84"/>
      <c r="K360" s="144">
        <f>SUM(K359:K359)</f>
        <v>60.44</v>
      </c>
    </row>
    <row r="361" spans="1:11">
      <c r="A361" s="145"/>
      <c r="B361" s="118"/>
      <c r="C361" s="118"/>
      <c r="D361" s="118"/>
      <c r="E361" s="118"/>
      <c r="F361" s="118"/>
      <c r="G361" s="118"/>
      <c r="H361" s="118"/>
      <c r="I361" s="118"/>
      <c r="J361" s="118"/>
      <c r="K361" s="146"/>
    </row>
    <row r="362" spans="1:11">
      <c r="A362" s="148" t="str">
        <f>'Planilha orç.'!A93</f>
        <v>7.4.2</v>
      </c>
      <c r="B362" s="221" t="str">
        <f>'Planilha orç.'!D93</f>
        <v>PINTURA EXTERNA</v>
      </c>
      <c r="C362" s="222"/>
      <c r="D362" s="222"/>
      <c r="E362" s="222"/>
      <c r="F362" s="222"/>
      <c r="G362" s="222"/>
      <c r="H362" s="222"/>
      <c r="I362" s="222"/>
      <c r="J362" s="222"/>
      <c r="K362" s="223"/>
    </row>
    <row r="363" spans="1:11">
      <c r="A363" s="142" t="str">
        <f>'Planilha orç.'!A94</f>
        <v>7.4.2.1</v>
      </c>
      <c r="B363" s="81" t="str">
        <f>'Planilha orç.'!B94</f>
        <v>SINAPI</v>
      </c>
      <c r="C363" s="81" t="str">
        <f>'Planilha orç.'!C94</f>
        <v>88415</v>
      </c>
      <c r="D363" s="219" t="str">
        <f>'Planilha orç.'!D94</f>
        <v>APLICAÇÃO MANUAL DE FUNDO SELADOR ACRÍLICO EM PAREDES EXTERNAS DE CASAS. AF_03/2024</v>
      </c>
      <c r="E363" s="220"/>
      <c r="F363" s="220"/>
      <c r="G363" s="220"/>
      <c r="H363" s="220"/>
      <c r="I363" s="220"/>
      <c r="J363" s="220"/>
      <c r="K363" s="143" t="str">
        <f>'Planilha orç.'!E94</f>
        <v>M2</v>
      </c>
    </row>
    <row r="364" spans="1:11">
      <c r="A364" s="142"/>
      <c r="B364" s="81"/>
      <c r="C364" s="81"/>
      <c r="D364" s="84" t="s">
        <v>436</v>
      </c>
      <c r="E364" s="84"/>
      <c r="F364" s="84"/>
      <c r="G364" s="84"/>
      <c r="H364" s="84"/>
      <c r="I364" s="84"/>
      <c r="J364" s="84"/>
      <c r="K364" s="143">
        <f>K342</f>
        <v>87.47</v>
      </c>
    </row>
    <row r="365" spans="1:11">
      <c r="A365" s="142"/>
      <c r="B365" s="81"/>
      <c r="C365" s="81"/>
      <c r="D365" s="83"/>
      <c r="E365" s="73"/>
      <c r="F365" s="73"/>
      <c r="G365" s="73"/>
      <c r="H365" s="73"/>
      <c r="I365" s="73"/>
      <c r="J365" s="73"/>
      <c r="K365" s="144">
        <f>K364</f>
        <v>87.47</v>
      </c>
    </row>
    <row r="366" spans="1:11">
      <c r="A366" s="142" t="str">
        <f>'Planilha orç.'!A95</f>
        <v>7.4.2.2</v>
      </c>
      <c r="B366" s="81" t="str">
        <f>'Planilha orç.'!B95</f>
        <v>SINAPI</v>
      </c>
      <c r="C366" s="81" t="str">
        <f>'Planilha orç.'!C95</f>
        <v>104642</v>
      </c>
      <c r="D366" s="219" t="str">
        <f>'Planilha orç.'!D95</f>
        <v>PINTURA LÁTEX ACRÍLICA STANDARD, APLICAÇÃO MANUAL EM PAREDES, DUAS DEMÃOS. AF_04/2023</v>
      </c>
      <c r="E366" s="220"/>
      <c r="F366" s="220"/>
      <c r="G366" s="220"/>
      <c r="H366" s="220"/>
      <c r="I366" s="220"/>
      <c r="J366" s="220"/>
      <c r="K366" s="143" t="str">
        <f>'Planilha orç.'!E95</f>
        <v>M2</v>
      </c>
    </row>
    <row r="367" spans="1:11">
      <c r="A367" s="142"/>
      <c r="B367" s="81"/>
      <c r="C367" s="81"/>
      <c r="D367" s="84" t="s">
        <v>436</v>
      </c>
      <c r="E367" s="84"/>
      <c r="F367" s="84"/>
      <c r="G367" s="84"/>
      <c r="H367" s="84"/>
      <c r="I367" s="84"/>
      <c r="J367" s="84"/>
      <c r="K367" s="143">
        <f>K342</f>
        <v>87.47</v>
      </c>
    </row>
    <row r="368" spans="1:11">
      <c r="A368" s="142"/>
      <c r="B368" s="81"/>
      <c r="C368" s="81"/>
      <c r="D368" s="83"/>
      <c r="E368" s="73"/>
      <c r="F368" s="73"/>
      <c r="G368" s="73"/>
      <c r="H368" s="73"/>
      <c r="I368" s="73"/>
      <c r="J368" s="73"/>
      <c r="K368" s="144">
        <f>K367</f>
        <v>87.47</v>
      </c>
    </row>
    <row r="369" spans="1:11" ht="12.75" customHeight="1">
      <c r="A369" s="148" t="str">
        <f>'Planilha orç.'!A96</f>
        <v>7.4.3</v>
      </c>
      <c r="B369" s="221" t="str">
        <f>'Planilha orç.'!D96</f>
        <v>PINTURA ESQUADRIAS</v>
      </c>
      <c r="C369" s="222"/>
      <c r="D369" s="222"/>
      <c r="E369" s="222"/>
      <c r="F369" s="222"/>
      <c r="G369" s="222"/>
      <c r="H369" s="222"/>
      <c r="I369" s="222"/>
      <c r="J369" s="222"/>
      <c r="K369" s="223"/>
    </row>
    <row r="370" spans="1:11">
      <c r="A370" s="142" t="str">
        <f>'Planilha orç.'!A97</f>
        <v>7.4.3.1</v>
      </c>
      <c r="B370" s="81" t="str">
        <f>'Planilha orç.'!B97</f>
        <v>SINAPI</v>
      </c>
      <c r="C370" s="81" t="str">
        <f>'Planilha orç.'!C97</f>
        <v>102193</v>
      </c>
      <c r="D370" s="219" t="str">
        <f>'Planilha orç.'!D97</f>
        <v>LIXAMENTO DE MADEIRA PARA APLICAÇÃO DE FUNDO OU PINTURA. AF_01/2021</v>
      </c>
      <c r="E370" s="220"/>
      <c r="F370" s="220"/>
      <c r="G370" s="220"/>
      <c r="H370" s="220"/>
      <c r="I370" s="220"/>
      <c r="J370" s="220"/>
      <c r="K370" s="143" t="str">
        <f>'Planilha orç.'!E97</f>
        <v>M2</v>
      </c>
    </row>
    <row r="371" spans="1:11" ht="12.75" customHeight="1">
      <c r="A371" s="142"/>
      <c r="B371" s="81"/>
      <c r="C371" s="81"/>
      <c r="D371" s="83"/>
      <c r="E371" s="73" t="s">
        <v>442</v>
      </c>
      <c r="F371" s="73"/>
      <c r="G371" s="73" t="s">
        <v>79</v>
      </c>
      <c r="H371" s="73"/>
      <c r="I371" s="73" t="s">
        <v>84</v>
      </c>
      <c r="J371" s="73"/>
      <c r="K371" s="143" t="s">
        <v>126</v>
      </c>
    </row>
    <row r="372" spans="1:11">
      <c r="A372" s="142"/>
      <c r="B372" s="81"/>
      <c r="C372" s="81"/>
      <c r="D372" s="83" t="s">
        <v>439</v>
      </c>
      <c r="E372" s="73">
        <v>12</v>
      </c>
      <c r="F372" s="71" t="s">
        <v>82</v>
      </c>
      <c r="G372" s="73">
        <v>2.1</v>
      </c>
      <c r="H372" s="71" t="s">
        <v>82</v>
      </c>
      <c r="I372" s="73">
        <v>0.9</v>
      </c>
      <c r="J372" s="71" t="s">
        <v>83</v>
      </c>
      <c r="K372" s="143">
        <f>ROUND(E372*G372*I372,2)</f>
        <v>22.68</v>
      </c>
    </row>
    <row r="373" spans="1:11">
      <c r="A373" s="142"/>
      <c r="B373" s="81"/>
      <c r="C373" s="81"/>
      <c r="D373" s="83" t="s">
        <v>440</v>
      </c>
      <c r="E373" s="73">
        <v>12</v>
      </c>
      <c r="F373" s="71" t="s">
        <v>82</v>
      </c>
      <c r="G373" s="73">
        <f>2.1*2+1</f>
        <v>5.2</v>
      </c>
      <c r="H373" s="71" t="s">
        <v>82</v>
      </c>
      <c r="I373" s="73">
        <v>7.0000000000000007E-2</v>
      </c>
      <c r="J373" s="71" t="s">
        <v>83</v>
      </c>
      <c r="K373" s="143">
        <f t="shared" ref="K373:K374" si="22">ROUND(E373*G373*I373,2)</f>
        <v>4.37</v>
      </c>
    </row>
    <row r="374" spans="1:11">
      <c r="A374" s="142"/>
      <c r="B374" s="81"/>
      <c r="C374" s="81"/>
      <c r="D374" s="83" t="s">
        <v>441</v>
      </c>
      <c r="E374" s="73">
        <v>4</v>
      </c>
      <c r="F374" s="71" t="s">
        <v>82</v>
      </c>
      <c r="G374" s="73">
        <f>2.1*2+0.9</f>
        <v>5.0999999999999996</v>
      </c>
      <c r="H374" s="71" t="s">
        <v>82</v>
      </c>
      <c r="I374" s="73">
        <v>0.13</v>
      </c>
      <c r="J374" s="71" t="s">
        <v>83</v>
      </c>
      <c r="K374" s="143">
        <f t="shared" si="22"/>
        <v>2.65</v>
      </c>
    </row>
    <row r="375" spans="1:11">
      <c r="A375" s="142"/>
      <c r="B375" s="81"/>
      <c r="C375" s="81"/>
      <c r="D375" s="83" t="s">
        <v>441</v>
      </c>
      <c r="E375" s="73">
        <v>2</v>
      </c>
      <c r="F375" s="71" t="s">
        <v>82</v>
      </c>
      <c r="G375" s="73">
        <f>2.1*2+0.9</f>
        <v>5.0999999999999996</v>
      </c>
      <c r="H375" s="71" t="s">
        <v>82</v>
      </c>
      <c r="I375" s="73">
        <v>0.18</v>
      </c>
      <c r="J375" s="71" t="s">
        <v>83</v>
      </c>
      <c r="K375" s="143">
        <f t="shared" ref="K375" si="23">ROUND(E375*G375*I375,2)</f>
        <v>1.84</v>
      </c>
    </row>
    <row r="376" spans="1:11">
      <c r="A376" s="142"/>
      <c r="B376" s="81"/>
      <c r="C376" s="81"/>
      <c r="D376" s="83"/>
      <c r="E376" s="73"/>
      <c r="F376" s="73"/>
      <c r="G376" s="73"/>
      <c r="H376" s="73"/>
      <c r="I376" s="73"/>
      <c r="J376" s="73"/>
      <c r="K376" s="144">
        <f>SUM(K372:K375)</f>
        <v>31.54</v>
      </c>
    </row>
    <row r="377" spans="1:11" ht="27.75" customHeight="1">
      <c r="A377" s="142" t="str">
        <f>'Planilha orç.'!A98</f>
        <v>7.4.3.2</v>
      </c>
      <c r="B377" s="81" t="str">
        <f>'Planilha orç.'!B98</f>
        <v>SICOR-MG</v>
      </c>
      <c r="C377" s="81" t="str">
        <f>'Planilha orç.'!C98</f>
        <v>ED-17544</v>
      </c>
      <c r="D377" s="219" t="str">
        <f>'Planilha orç.'!D98</f>
        <v>PINTURA COM FUNDO NIVELADOR EM SUPERFÍCIE DE MADEIRA OU ESQUADRIA DE MADEIRA, UMA (1) DEMÃO, INCLUSIVE PREPARAÇÃO DA SUPERFÍCIE COM LIXAMENTO, EXCLUSIVE MASSA A ÓLEO</v>
      </c>
      <c r="E377" s="220"/>
      <c r="F377" s="220"/>
      <c r="G377" s="220"/>
      <c r="H377" s="220"/>
      <c r="I377" s="220"/>
      <c r="J377" s="220"/>
      <c r="K377" s="143" t="str">
        <f>'Planilha orç.'!E98</f>
        <v>M2</v>
      </c>
    </row>
    <row r="378" spans="1:11">
      <c r="A378" s="142"/>
      <c r="B378" s="81"/>
      <c r="C378" s="81"/>
      <c r="D378" s="83"/>
      <c r="E378" s="73"/>
      <c r="F378" s="73"/>
      <c r="G378" s="73"/>
      <c r="H378" s="73"/>
      <c r="I378" s="73"/>
      <c r="J378" s="73"/>
      <c r="K378" s="144">
        <f>K376</f>
        <v>31.54</v>
      </c>
    </row>
    <row r="379" spans="1:11">
      <c r="A379" s="148">
        <f>'Planilha orç.'!A99</f>
        <v>8</v>
      </c>
      <c r="B379" s="221" t="str">
        <f>'Planilha orç.'!D99</f>
        <v>PAVIMENTAÇÕES</v>
      </c>
      <c r="C379" s="222">
        <f>'Planilha orç.'!C99</f>
        <v>0</v>
      </c>
      <c r="D379" s="222" t="str">
        <f>'Planilha orç.'!D99</f>
        <v>PAVIMENTAÇÕES</v>
      </c>
      <c r="E379" s="222"/>
      <c r="F379" s="222"/>
      <c r="G379" s="222"/>
      <c r="H379" s="222"/>
      <c r="I379" s="222"/>
      <c r="J379" s="222"/>
      <c r="K379" s="223" t="str">
        <f>'Planilha orç.'!E99</f>
        <v>-</v>
      </c>
    </row>
    <row r="380" spans="1:11">
      <c r="A380" s="148" t="str">
        <f>'Planilha orç.'!A100</f>
        <v>8.1</v>
      </c>
      <c r="B380" s="221" t="str">
        <f>'Planilha orç.'!D100</f>
        <v>CERÂMICA</v>
      </c>
      <c r="C380" s="222">
        <f>'Planilha orç.'!C100</f>
        <v>0</v>
      </c>
      <c r="D380" s="222" t="str">
        <f>'Planilha orç.'!D100</f>
        <v>CERÂMICA</v>
      </c>
      <c r="E380" s="222"/>
      <c r="F380" s="222"/>
      <c r="G380" s="222"/>
      <c r="H380" s="222"/>
      <c r="I380" s="222"/>
      <c r="J380" s="222"/>
      <c r="K380" s="223" t="str">
        <f>'Planilha orç.'!E100</f>
        <v>-</v>
      </c>
    </row>
    <row r="381" spans="1:11" ht="27" customHeight="1">
      <c r="A381" s="142" t="str">
        <f>'Planilha orç.'!A101</f>
        <v>8.1.1</v>
      </c>
      <c r="B381" s="81" t="str">
        <f>'Planilha orç.'!B101</f>
        <v>SINAPI</v>
      </c>
      <c r="C381" s="81" t="str">
        <f>'Planilha orç.'!C101</f>
        <v>97084</v>
      </c>
      <c r="D381" s="219" t="str">
        <f>'Planilha orç.'!D101</f>
        <v>COMPACTAÇÃO MECÂNICA DE SOLO PARA EXECUÇÃO DE RADIER, PISO DE CONCRETO OU LAJE SOBRE SOLO, COM COMPACTADOR DE SOLOS TIPO PLACA VIBRATÓRIA. AF_09/2021</v>
      </c>
      <c r="E381" s="220"/>
      <c r="F381" s="220"/>
      <c r="G381" s="220"/>
      <c r="H381" s="220"/>
      <c r="I381" s="220"/>
      <c r="J381" s="220"/>
      <c r="K381" s="143" t="str">
        <f>'Planilha orç.'!E101</f>
        <v>M2</v>
      </c>
    </row>
    <row r="382" spans="1:11">
      <c r="A382" s="142"/>
      <c r="B382" s="81"/>
      <c r="C382" s="81"/>
      <c r="D382" s="83"/>
      <c r="E382" s="73"/>
      <c r="F382" s="73"/>
      <c r="G382" s="73"/>
      <c r="H382" s="73"/>
      <c r="I382" s="73"/>
      <c r="J382" s="73"/>
      <c r="K382" s="143" t="s">
        <v>126</v>
      </c>
    </row>
    <row r="383" spans="1:11">
      <c r="A383" s="142"/>
      <c r="B383" s="81"/>
      <c r="C383" s="81"/>
      <c r="D383" s="83" t="s">
        <v>426</v>
      </c>
      <c r="E383" s="73"/>
      <c r="F383" s="71"/>
      <c r="G383" s="73"/>
      <c r="H383" s="71"/>
      <c r="I383" s="122"/>
      <c r="J383" s="71" t="s">
        <v>83</v>
      </c>
      <c r="K383" s="149">
        <v>4.37</v>
      </c>
    </row>
    <row r="384" spans="1:11">
      <c r="A384" s="142"/>
      <c r="B384" s="81"/>
      <c r="C384" s="81"/>
      <c r="D384" s="83" t="s">
        <v>419</v>
      </c>
      <c r="E384" s="73"/>
      <c r="F384" s="71"/>
      <c r="G384" s="73"/>
      <c r="H384" s="71"/>
      <c r="I384" s="122"/>
      <c r="J384" s="71" t="s">
        <v>83</v>
      </c>
      <c r="K384" s="149">
        <v>12.58</v>
      </c>
    </row>
    <row r="385" spans="1:11">
      <c r="A385" s="142"/>
      <c r="B385" s="81"/>
      <c r="C385" s="81"/>
      <c r="D385" s="83" t="s">
        <v>420</v>
      </c>
      <c r="E385" s="73"/>
      <c r="F385" s="71"/>
      <c r="G385" s="73"/>
      <c r="H385" s="71"/>
      <c r="I385" s="122"/>
      <c r="J385" s="71" t="s">
        <v>83</v>
      </c>
      <c r="K385" s="149">
        <v>6.89</v>
      </c>
    </row>
    <row r="386" spans="1:11">
      <c r="A386" s="142"/>
      <c r="B386" s="81"/>
      <c r="C386" s="81"/>
      <c r="D386" s="83" t="s">
        <v>421</v>
      </c>
      <c r="E386" s="73"/>
      <c r="F386" s="71"/>
      <c r="G386" s="73"/>
      <c r="H386" s="71"/>
      <c r="I386" s="122"/>
      <c r="J386" s="71" t="s">
        <v>83</v>
      </c>
      <c r="K386" s="149">
        <v>8.34</v>
      </c>
    </row>
    <row r="387" spans="1:11">
      <c r="A387" s="142"/>
      <c r="B387" s="81"/>
      <c r="C387" s="81"/>
      <c r="D387" s="83" t="s">
        <v>422</v>
      </c>
      <c r="E387" s="73"/>
      <c r="F387" s="71"/>
      <c r="G387" s="73"/>
      <c r="H387" s="71"/>
      <c r="I387" s="122"/>
      <c r="J387" s="71" t="s">
        <v>83</v>
      </c>
      <c r="K387" s="149">
        <v>8.26</v>
      </c>
    </row>
    <row r="388" spans="1:11">
      <c r="A388" s="142"/>
      <c r="B388" s="81"/>
      <c r="C388" s="81"/>
      <c r="D388" s="83" t="s">
        <v>423</v>
      </c>
      <c r="E388" s="73"/>
      <c r="F388" s="71"/>
      <c r="G388" s="73"/>
      <c r="H388" s="71"/>
      <c r="I388" s="122"/>
      <c r="J388" s="71" t="s">
        <v>83</v>
      </c>
      <c r="K388" s="149">
        <v>11.27</v>
      </c>
    </row>
    <row r="389" spans="1:11">
      <c r="A389" s="142"/>
      <c r="B389" s="81"/>
      <c r="C389" s="81"/>
      <c r="D389" s="83" t="s">
        <v>424</v>
      </c>
      <c r="E389" s="73"/>
      <c r="F389" s="71"/>
      <c r="G389" s="73"/>
      <c r="H389" s="71"/>
      <c r="I389" s="122"/>
      <c r="J389" s="71" t="s">
        <v>83</v>
      </c>
      <c r="K389" s="149">
        <v>6.3</v>
      </c>
    </row>
    <row r="390" spans="1:11">
      <c r="A390" s="142"/>
      <c r="B390" s="81"/>
      <c r="C390" s="81"/>
      <c r="D390" s="83" t="s">
        <v>425</v>
      </c>
      <c r="E390" s="73"/>
      <c r="F390" s="71"/>
      <c r="G390" s="73"/>
      <c r="H390" s="71"/>
      <c r="I390" s="122"/>
      <c r="J390" s="71" t="s">
        <v>83</v>
      </c>
      <c r="K390" s="149">
        <v>2.4300000000000002</v>
      </c>
    </row>
    <row r="391" spans="1:11">
      <c r="A391" s="142"/>
      <c r="B391" s="81"/>
      <c r="C391" s="81"/>
      <c r="D391" s="83" t="s">
        <v>427</v>
      </c>
      <c r="E391" s="73"/>
      <c r="F391" s="73"/>
      <c r="G391" s="73"/>
      <c r="H391" s="73"/>
      <c r="I391" s="73"/>
      <c r="J391" s="71" t="s">
        <v>83</v>
      </c>
      <c r="K391" s="143">
        <v>3.17</v>
      </c>
    </row>
    <row r="392" spans="1:11">
      <c r="A392" s="142"/>
      <c r="B392" s="81"/>
      <c r="C392" s="81"/>
      <c r="D392" s="83"/>
      <c r="E392" s="73"/>
      <c r="F392" s="73"/>
      <c r="G392" s="73"/>
      <c r="H392" s="73"/>
      <c r="I392" s="73"/>
      <c r="J392" s="73"/>
      <c r="K392" s="144">
        <f>SUM(K383:K391)</f>
        <v>63.61</v>
      </c>
    </row>
    <row r="393" spans="1:11" ht="25.5" customHeight="1">
      <c r="A393" s="142" t="str">
        <f>'Planilha orç.'!A102</f>
        <v>8.1.2</v>
      </c>
      <c r="B393" s="81" t="str">
        <f>'Planilha orç.'!B102</f>
        <v>SINAPI</v>
      </c>
      <c r="C393" s="81" t="str">
        <f>'Planilha orç.'!C102</f>
        <v>100322</v>
      </c>
      <c r="D393" s="219" t="str">
        <f>'Planilha orç.'!D102</f>
        <v>LASTRO COM MATERIAL GRANULAR (PEDRA BRITADA N.3), APLICADO EM PISOS OU LAJES SOBRE SOLO, ESPESSURA DE *5 CM*. AF_01/2024</v>
      </c>
      <c r="E393" s="220"/>
      <c r="F393" s="220"/>
      <c r="G393" s="220"/>
      <c r="H393" s="220"/>
      <c r="I393" s="220"/>
      <c r="J393" s="220"/>
      <c r="K393" s="143" t="str">
        <f>'Planilha orç.'!E102</f>
        <v>M3</v>
      </c>
    </row>
    <row r="394" spans="1:11">
      <c r="A394" s="142"/>
      <c r="B394" s="81"/>
      <c r="C394" s="81"/>
      <c r="D394" s="83"/>
      <c r="E394" s="73"/>
      <c r="F394" s="73"/>
      <c r="G394" s="80" t="s">
        <v>445</v>
      </c>
      <c r="H394" s="73"/>
      <c r="I394" s="73" t="s">
        <v>129</v>
      </c>
      <c r="J394" s="73"/>
      <c r="K394" s="143" t="s">
        <v>446</v>
      </c>
    </row>
    <row r="395" spans="1:11">
      <c r="A395" s="142"/>
      <c r="B395" s="81"/>
      <c r="C395" s="81"/>
      <c r="D395" s="83" t="s">
        <v>426</v>
      </c>
      <c r="E395" s="73"/>
      <c r="F395" s="71"/>
      <c r="G395" s="73">
        <f>K383</f>
        <v>4.37</v>
      </c>
      <c r="H395" s="71" t="s">
        <v>82</v>
      </c>
      <c r="I395" s="122">
        <v>0.05</v>
      </c>
      <c r="J395" s="71" t="s">
        <v>83</v>
      </c>
      <c r="K395" s="149">
        <f>ROUND(G395*I395,2)</f>
        <v>0.22</v>
      </c>
    </row>
    <row r="396" spans="1:11">
      <c r="A396" s="142"/>
      <c r="B396" s="81"/>
      <c r="C396" s="81"/>
      <c r="D396" s="83" t="s">
        <v>419</v>
      </c>
      <c r="E396" s="73"/>
      <c r="F396" s="71"/>
      <c r="G396" s="73">
        <f t="shared" ref="G396:G403" si="24">K384</f>
        <v>12.58</v>
      </c>
      <c r="H396" s="71" t="s">
        <v>82</v>
      </c>
      <c r="I396" s="122">
        <v>0.05</v>
      </c>
      <c r="J396" s="71" t="s">
        <v>83</v>
      </c>
      <c r="K396" s="149">
        <f t="shared" ref="K396:K403" si="25">ROUND(G396*I396,2)</f>
        <v>0.63</v>
      </c>
    </row>
    <row r="397" spans="1:11">
      <c r="A397" s="142"/>
      <c r="B397" s="81"/>
      <c r="C397" s="81"/>
      <c r="D397" s="83" t="s">
        <v>420</v>
      </c>
      <c r="E397" s="73"/>
      <c r="F397" s="71"/>
      <c r="G397" s="73">
        <f t="shared" si="24"/>
        <v>6.89</v>
      </c>
      <c r="H397" s="71" t="s">
        <v>82</v>
      </c>
      <c r="I397" s="122">
        <v>0.05</v>
      </c>
      <c r="J397" s="71" t="s">
        <v>83</v>
      </c>
      <c r="K397" s="149">
        <f t="shared" si="25"/>
        <v>0.34</v>
      </c>
    </row>
    <row r="398" spans="1:11">
      <c r="A398" s="142"/>
      <c r="B398" s="81"/>
      <c r="C398" s="81"/>
      <c r="D398" s="83" t="s">
        <v>421</v>
      </c>
      <c r="E398" s="73"/>
      <c r="F398" s="71"/>
      <c r="G398" s="73">
        <f t="shared" si="24"/>
        <v>8.34</v>
      </c>
      <c r="H398" s="71" t="s">
        <v>82</v>
      </c>
      <c r="I398" s="122">
        <v>0.05</v>
      </c>
      <c r="J398" s="71" t="s">
        <v>83</v>
      </c>
      <c r="K398" s="149">
        <f t="shared" si="25"/>
        <v>0.42</v>
      </c>
    </row>
    <row r="399" spans="1:11">
      <c r="A399" s="142"/>
      <c r="B399" s="81"/>
      <c r="C399" s="81"/>
      <c r="D399" s="83" t="s">
        <v>422</v>
      </c>
      <c r="E399" s="73"/>
      <c r="F399" s="71"/>
      <c r="G399" s="73">
        <f t="shared" si="24"/>
        <v>8.26</v>
      </c>
      <c r="H399" s="71" t="s">
        <v>82</v>
      </c>
      <c r="I399" s="122">
        <v>0.05</v>
      </c>
      <c r="J399" s="71" t="s">
        <v>83</v>
      </c>
      <c r="K399" s="149">
        <f t="shared" si="25"/>
        <v>0.41</v>
      </c>
    </row>
    <row r="400" spans="1:11">
      <c r="A400" s="142"/>
      <c r="B400" s="81"/>
      <c r="C400" s="81"/>
      <c r="D400" s="83" t="s">
        <v>423</v>
      </c>
      <c r="E400" s="73"/>
      <c r="F400" s="71"/>
      <c r="G400" s="73">
        <f t="shared" si="24"/>
        <v>11.27</v>
      </c>
      <c r="H400" s="71" t="s">
        <v>82</v>
      </c>
      <c r="I400" s="122">
        <v>0.05</v>
      </c>
      <c r="J400" s="71" t="s">
        <v>83</v>
      </c>
      <c r="K400" s="149">
        <f t="shared" si="25"/>
        <v>0.56000000000000005</v>
      </c>
    </row>
    <row r="401" spans="1:11">
      <c r="A401" s="142"/>
      <c r="B401" s="81"/>
      <c r="C401" s="81"/>
      <c r="D401" s="83" t="s">
        <v>424</v>
      </c>
      <c r="E401" s="73"/>
      <c r="F401" s="71"/>
      <c r="G401" s="73">
        <f t="shared" si="24"/>
        <v>6.3</v>
      </c>
      <c r="H401" s="71" t="s">
        <v>82</v>
      </c>
      <c r="I401" s="122">
        <v>0.05</v>
      </c>
      <c r="J401" s="71" t="s">
        <v>83</v>
      </c>
      <c r="K401" s="149">
        <f t="shared" si="25"/>
        <v>0.32</v>
      </c>
    </row>
    <row r="402" spans="1:11">
      <c r="A402" s="142"/>
      <c r="B402" s="81"/>
      <c r="C402" s="81"/>
      <c r="D402" s="83" t="s">
        <v>425</v>
      </c>
      <c r="E402" s="73"/>
      <c r="F402" s="71"/>
      <c r="G402" s="73">
        <f t="shared" si="24"/>
        <v>2.4300000000000002</v>
      </c>
      <c r="H402" s="71" t="s">
        <v>82</v>
      </c>
      <c r="I402" s="122">
        <v>0.05</v>
      </c>
      <c r="J402" s="71" t="s">
        <v>83</v>
      </c>
      <c r="K402" s="149">
        <f t="shared" si="25"/>
        <v>0.12</v>
      </c>
    </row>
    <row r="403" spans="1:11">
      <c r="A403" s="142"/>
      <c r="B403" s="81"/>
      <c r="C403" s="81"/>
      <c r="D403" s="83" t="s">
        <v>427</v>
      </c>
      <c r="E403" s="73"/>
      <c r="F403" s="73"/>
      <c r="G403" s="73">
        <f t="shared" si="24"/>
        <v>3.17</v>
      </c>
      <c r="H403" s="71" t="s">
        <v>82</v>
      </c>
      <c r="I403" s="122">
        <v>0.05</v>
      </c>
      <c r="J403" s="71" t="s">
        <v>83</v>
      </c>
      <c r="K403" s="149">
        <f t="shared" si="25"/>
        <v>0.16</v>
      </c>
    </row>
    <row r="404" spans="1:11">
      <c r="A404" s="142"/>
      <c r="B404" s="81"/>
      <c r="C404" s="81"/>
      <c r="D404" s="83"/>
      <c r="E404" s="73"/>
      <c r="F404" s="73"/>
      <c r="G404" s="73"/>
      <c r="H404" s="73"/>
      <c r="I404" s="73"/>
      <c r="J404" s="73"/>
      <c r="K404" s="144">
        <f>SUM(K395:K403)</f>
        <v>3.18</v>
      </c>
    </row>
    <row r="405" spans="1:11" ht="27" customHeight="1">
      <c r="A405" s="142" t="str">
        <f>'Planilha orç.'!A103</f>
        <v>8.1.3</v>
      </c>
      <c r="B405" s="81" t="str">
        <f>'Planilha orç.'!B103</f>
        <v>SINAPI</v>
      </c>
      <c r="C405" s="81" t="str">
        <f>'Planilha orç.'!C103</f>
        <v>97087</v>
      </c>
      <c r="D405" s="219" t="str">
        <f>'Planilha orç.'!D103</f>
        <v>CAMADA SEPARADORA PARA EXECUÇÃO DE RADIER, PISO DE CONCRETO OU LAJE SOBRE SOLO, EM LONA PLÁSTICA. AF_09/2021</v>
      </c>
      <c r="E405" s="220"/>
      <c r="F405" s="220"/>
      <c r="G405" s="220"/>
      <c r="H405" s="220"/>
      <c r="I405" s="220"/>
      <c r="J405" s="220"/>
      <c r="K405" s="143" t="str">
        <f>'Planilha orç.'!E103</f>
        <v>M2</v>
      </c>
    </row>
    <row r="406" spans="1:11">
      <c r="A406" s="142"/>
      <c r="B406" s="81"/>
      <c r="C406" s="81"/>
      <c r="D406" s="83" t="s">
        <v>443</v>
      </c>
      <c r="E406" s="73"/>
      <c r="F406" s="73"/>
      <c r="G406" s="73"/>
      <c r="H406" s="73"/>
      <c r="I406" s="73"/>
      <c r="J406" s="73"/>
      <c r="K406" s="143">
        <f>K392</f>
        <v>63.61</v>
      </c>
    </row>
    <row r="407" spans="1:11">
      <c r="A407" s="142"/>
      <c r="B407" s="81"/>
      <c r="C407" s="81"/>
      <c r="D407" s="83"/>
      <c r="E407" s="73"/>
      <c r="F407" s="73"/>
      <c r="G407" s="73"/>
      <c r="H407" s="73"/>
      <c r="I407" s="73"/>
      <c r="J407" s="73"/>
      <c r="K407" s="144">
        <f>K406</f>
        <v>63.61</v>
      </c>
    </row>
    <row r="408" spans="1:11" ht="26.25" customHeight="1">
      <c r="A408" s="142" t="str">
        <f>'Planilha orç.'!A104</f>
        <v>8.1.4</v>
      </c>
      <c r="B408" s="81" t="str">
        <f>'Planilha orç.'!B104</f>
        <v>SINAPI</v>
      </c>
      <c r="C408" s="81" t="str">
        <f>'Planilha orç.'!C104</f>
        <v>95241</v>
      </c>
      <c r="D408" s="219" t="str">
        <f>'Planilha orç.'!D104</f>
        <v>LASTRO DE CONCRETO MAGRO, APLICADO EM PISOS, LAJES SOBRE SOLO OU RADIERS, ESPESSURA DE 5 CM. AF_01/2024</v>
      </c>
      <c r="E408" s="220"/>
      <c r="F408" s="220"/>
      <c r="G408" s="220"/>
      <c r="H408" s="220"/>
      <c r="I408" s="220"/>
      <c r="J408" s="220"/>
      <c r="K408" s="143" t="str">
        <f>'Planilha orç.'!E104</f>
        <v>M2</v>
      </c>
    </row>
    <row r="409" spans="1:11">
      <c r="A409" s="142"/>
      <c r="B409" s="81"/>
      <c r="C409" s="81"/>
      <c r="D409" s="83"/>
      <c r="E409" s="73"/>
      <c r="F409" s="73"/>
      <c r="G409" s="80" t="s">
        <v>445</v>
      </c>
      <c r="H409" s="73"/>
      <c r="I409" s="73" t="s">
        <v>129</v>
      </c>
      <c r="J409" s="73"/>
      <c r="K409" s="143" t="s">
        <v>446</v>
      </c>
    </row>
    <row r="410" spans="1:11">
      <c r="A410" s="142"/>
      <c r="B410" s="81"/>
      <c r="C410" s="81"/>
      <c r="D410" s="83" t="s">
        <v>426</v>
      </c>
      <c r="E410" s="73"/>
      <c r="F410" s="71"/>
      <c r="G410" s="73">
        <f>K383</f>
        <v>4.37</v>
      </c>
      <c r="H410" s="71" t="s">
        <v>82</v>
      </c>
      <c r="I410" s="122">
        <v>0.05</v>
      </c>
      <c r="J410" s="71" t="s">
        <v>83</v>
      </c>
      <c r="K410" s="149">
        <f>ROUND(G410*I410,2)</f>
        <v>0.22</v>
      </c>
    </row>
    <row r="411" spans="1:11">
      <c r="A411" s="142"/>
      <c r="B411" s="81"/>
      <c r="C411" s="81"/>
      <c r="D411" s="83" t="s">
        <v>419</v>
      </c>
      <c r="E411" s="73"/>
      <c r="F411" s="71"/>
      <c r="G411" s="73">
        <f t="shared" ref="G411:G418" si="26">K384</f>
        <v>12.58</v>
      </c>
      <c r="H411" s="71" t="s">
        <v>82</v>
      </c>
      <c r="I411" s="122">
        <v>0.05</v>
      </c>
      <c r="J411" s="71" t="s">
        <v>83</v>
      </c>
      <c r="K411" s="149">
        <f t="shared" ref="K411:K418" si="27">ROUND(G411*I411,2)</f>
        <v>0.63</v>
      </c>
    </row>
    <row r="412" spans="1:11">
      <c r="A412" s="142"/>
      <c r="B412" s="81"/>
      <c r="C412" s="81"/>
      <c r="D412" s="83" t="s">
        <v>420</v>
      </c>
      <c r="E412" s="73"/>
      <c r="F412" s="71"/>
      <c r="G412" s="73">
        <f t="shared" si="26"/>
        <v>6.89</v>
      </c>
      <c r="H412" s="71" t="s">
        <v>82</v>
      </c>
      <c r="I412" s="122">
        <v>0.05</v>
      </c>
      <c r="J412" s="71" t="s">
        <v>83</v>
      </c>
      <c r="K412" s="149">
        <f t="shared" si="27"/>
        <v>0.34</v>
      </c>
    </row>
    <row r="413" spans="1:11">
      <c r="A413" s="142"/>
      <c r="B413" s="81"/>
      <c r="C413" s="81"/>
      <c r="D413" s="83" t="s">
        <v>421</v>
      </c>
      <c r="E413" s="73"/>
      <c r="F413" s="71"/>
      <c r="G413" s="73">
        <f t="shared" si="26"/>
        <v>8.34</v>
      </c>
      <c r="H413" s="71" t="s">
        <v>82</v>
      </c>
      <c r="I413" s="122">
        <v>0.05</v>
      </c>
      <c r="J413" s="71" t="s">
        <v>83</v>
      </c>
      <c r="K413" s="149">
        <f t="shared" si="27"/>
        <v>0.42</v>
      </c>
    </row>
    <row r="414" spans="1:11">
      <c r="A414" s="142"/>
      <c r="B414" s="81"/>
      <c r="C414" s="81"/>
      <c r="D414" s="83" t="s">
        <v>422</v>
      </c>
      <c r="E414" s="73"/>
      <c r="F414" s="71"/>
      <c r="G414" s="73">
        <f t="shared" si="26"/>
        <v>8.26</v>
      </c>
      <c r="H414" s="71" t="s">
        <v>82</v>
      </c>
      <c r="I414" s="122">
        <v>0.05</v>
      </c>
      <c r="J414" s="71" t="s">
        <v>83</v>
      </c>
      <c r="K414" s="149">
        <f t="shared" si="27"/>
        <v>0.41</v>
      </c>
    </row>
    <row r="415" spans="1:11">
      <c r="A415" s="142"/>
      <c r="B415" s="81"/>
      <c r="C415" s="81"/>
      <c r="D415" s="83" t="s">
        <v>423</v>
      </c>
      <c r="E415" s="73"/>
      <c r="F415" s="71"/>
      <c r="G415" s="73">
        <f t="shared" si="26"/>
        <v>11.27</v>
      </c>
      <c r="H415" s="71" t="s">
        <v>82</v>
      </c>
      <c r="I415" s="122">
        <v>0.05</v>
      </c>
      <c r="J415" s="71" t="s">
        <v>83</v>
      </c>
      <c r="K415" s="149">
        <f t="shared" si="27"/>
        <v>0.56000000000000005</v>
      </c>
    </row>
    <row r="416" spans="1:11">
      <c r="A416" s="142"/>
      <c r="B416" s="81"/>
      <c r="C416" s="81"/>
      <c r="D416" s="83" t="s">
        <v>424</v>
      </c>
      <c r="E416" s="73"/>
      <c r="F416" s="71"/>
      <c r="G416" s="73">
        <f t="shared" si="26"/>
        <v>6.3</v>
      </c>
      <c r="H416" s="71" t="s">
        <v>82</v>
      </c>
      <c r="I416" s="122">
        <v>0.05</v>
      </c>
      <c r="J416" s="71" t="s">
        <v>83</v>
      </c>
      <c r="K416" s="149">
        <f t="shared" si="27"/>
        <v>0.32</v>
      </c>
    </row>
    <row r="417" spans="1:11">
      <c r="A417" s="142"/>
      <c r="B417" s="81"/>
      <c r="C417" s="81"/>
      <c r="D417" s="83" t="s">
        <v>425</v>
      </c>
      <c r="E417" s="73"/>
      <c r="F417" s="71"/>
      <c r="G417" s="73">
        <f t="shared" si="26"/>
        <v>2.4300000000000002</v>
      </c>
      <c r="H417" s="71" t="s">
        <v>82</v>
      </c>
      <c r="I417" s="122">
        <v>0.05</v>
      </c>
      <c r="J417" s="71" t="s">
        <v>83</v>
      </c>
      <c r="K417" s="149">
        <f t="shared" si="27"/>
        <v>0.12</v>
      </c>
    </row>
    <row r="418" spans="1:11">
      <c r="A418" s="142"/>
      <c r="B418" s="81"/>
      <c r="C418" s="81"/>
      <c r="D418" s="83" t="s">
        <v>427</v>
      </c>
      <c r="E418" s="73"/>
      <c r="F418" s="73"/>
      <c r="G418" s="73">
        <f t="shared" si="26"/>
        <v>3.17</v>
      </c>
      <c r="H418" s="71" t="s">
        <v>82</v>
      </c>
      <c r="I418" s="122">
        <v>0.05</v>
      </c>
      <c r="J418" s="71" t="s">
        <v>83</v>
      </c>
      <c r="K418" s="149">
        <f t="shared" si="27"/>
        <v>0.16</v>
      </c>
    </row>
    <row r="419" spans="1:11">
      <c r="A419" s="142"/>
      <c r="B419" s="81"/>
      <c r="C419" s="81"/>
      <c r="D419" s="83"/>
      <c r="E419" s="73"/>
      <c r="F419" s="73"/>
      <c r="G419" s="73"/>
      <c r="H419" s="73"/>
      <c r="I419" s="73"/>
      <c r="J419" s="73"/>
      <c r="K419" s="144">
        <f>SUM(K410:K418)</f>
        <v>3.18</v>
      </c>
    </row>
    <row r="420" spans="1:11" ht="42" customHeight="1">
      <c r="A420" s="142" t="str">
        <f>'Planilha orç.'!A105</f>
        <v>8.1.5</v>
      </c>
      <c r="B420" s="81" t="str">
        <f>'Planilha orç.'!B105</f>
        <v>SINAPI</v>
      </c>
      <c r="C420" s="81" t="str">
        <f>'Planilha orç.'!C105</f>
        <v>87745</v>
      </c>
      <c r="D420" s="219" t="str">
        <f>'Planilha orç.'!D105</f>
        <v>CONTRAPISO EM ARGAMASSA TRAÇO 1:4 (CIMENTO E AREIA), PREPARO MECÂNICO COM BETONEIRA 400 L, APLICADO EM ÁREAS MOLHADAS SOBRE LAJE, ADERIDO, ACABAMENTO NÃO REFORÇADO, ESPESSURA 3CM. AF_07/2021</v>
      </c>
      <c r="E420" s="220"/>
      <c r="F420" s="220"/>
      <c r="G420" s="220"/>
      <c r="H420" s="220"/>
      <c r="I420" s="220"/>
      <c r="J420" s="220"/>
      <c r="K420" s="143" t="str">
        <f>'Planilha orç.'!E105</f>
        <v>M2</v>
      </c>
    </row>
    <row r="421" spans="1:11">
      <c r="A421" s="142"/>
      <c r="B421" s="81"/>
      <c r="C421" s="81"/>
      <c r="D421" s="83"/>
      <c r="E421" s="73"/>
      <c r="F421" s="73"/>
      <c r="G421" s="80"/>
      <c r="H421" s="73"/>
      <c r="I421" s="73"/>
      <c r="J421" s="73"/>
      <c r="K421" s="143" t="s">
        <v>126</v>
      </c>
    </row>
    <row r="422" spans="1:11">
      <c r="A422" s="142"/>
      <c r="B422" s="81"/>
      <c r="C422" s="81"/>
      <c r="D422" s="83" t="s">
        <v>426</v>
      </c>
      <c r="E422" s="73"/>
      <c r="F422" s="71"/>
      <c r="G422" s="73"/>
      <c r="H422" s="71"/>
      <c r="I422" s="122"/>
      <c r="J422" s="71" t="s">
        <v>83</v>
      </c>
      <c r="K422" s="149">
        <f>K383</f>
        <v>4.37</v>
      </c>
    </row>
    <row r="423" spans="1:11">
      <c r="A423" s="142"/>
      <c r="B423" s="81"/>
      <c r="C423" s="81"/>
      <c r="D423" s="83" t="s">
        <v>419</v>
      </c>
      <c r="E423" s="73"/>
      <c r="F423" s="71"/>
      <c r="G423" s="73"/>
      <c r="H423" s="71"/>
      <c r="I423" s="122"/>
      <c r="J423" s="71" t="s">
        <v>83</v>
      </c>
      <c r="K423" s="149">
        <f t="shared" ref="K423" si="28">K384</f>
        <v>12.58</v>
      </c>
    </row>
    <row r="424" spans="1:11">
      <c r="A424" s="142"/>
      <c r="B424" s="81"/>
      <c r="C424" s="81"/>
      <c r="D424" s="83" t="s">
        <v>427</v>
      </c>
      <c r="E424" s="73"/>
      <c r="F424" s="73"/>
      <c r="G424" s="73"/>
      <c r="H424" s="71"/>
      <c r="I424" s="122"/>
      <c r="J424" s="71" t="s">
        <v>83</v>
      </c>
      <c r="K424" s="149">
        <f>K391</f>
        <v>3.17</v>
      </c>
    </row>
    <row r="425" spans="1:11">
      <c r="A425" s="142"/>
      <c r="B425" s="81"/>
      <c r="C425" s="81"/>
      <c r="D425" s="83"/>
      <c r="E425" s="73"/>
      <c r="F425" s="73"/>
      <c r="G425" s="73"/>
      <c r="H425" s="73"/>
      <c r="I425" s="73"/>
      <c r="J425" s="73"/>
      <c r="K425" s="144">
        <f>SUM(K422:K424)</f>
        <v>20.12</v>
      </c>
    </row>
    <row r="426" spans="1:11" ht="39.75" customHeight="1">
      <c r="A426" s="142" t="str">
        <f>'Planilha orç.'!A106</f>
        <v>8.1.6</v>
      </c>
      <c r="B426" s="81" t="str">
        <f>'Planilha orç.'!B106</f>
        <v>SINAPI</v>
      </c>
      <c r="C426" s="81" t="str">
        <f>'Planilha orç.'!C106</f>
        <v>87630</v>
      </c>
      <c r="D426" s="219" t="str">
        <f>'Planilha orç.'!D106</f>
        <v>CONTRAPISO EM ARGAMASSA TRAÇO 1:4 (CIMENTO E AREIA), PREPARO MECÂNICO COM BETONEIRA 400 L, APLICADO EM ÁREAS SECAS SOBRE LAJE, ADERIDO, ACABAMENTO NÃO REFORÇADO, ESPESSURA 3CM. AF_07/2021</v>
      </c>
      <c r="E426" s="220"/>
      <c r="F426" s="220"/>
      <c r="G426" s="220"/>
      <c r="H426" s="220"/>
      <c r="I426" s="220"/>
      <c r="J426" s="220"/>
      <c r="K426" s="143" t="str">
        <f>'Planilha orç.'!E106</f>
        <v>M2</v>
      </c>
    </row>
    <row r="427" spans="1:11">
      <c r="A427" s="142"/>
      <c r="B427" s="81"/>
      <c r="C427" s="81"/>
      <c r="D427" s="83"/>
      <c r="E427" s="73"/>
      <c r="F427" s="73"/>
      <c r="G427" s="80"/>
      <c r="H427" s="73"/>
      <c r="I427" s="73"/>
      <c r="J427" s="73"/>
      <c r="K427" s="143" t="s">
        <v>126</v>
      </c>
    </row>
    <row r="428" spans="1:11">
      <c r="A428" s="142"/>
      <c r="B428" s="81"/>
      <c r="C428" s="81"/>
      <c r="D428" s="83" t="s">
        <v>420</v>
      </c>
      <c r="E428" s="73"/>
      <c r="F428" s="71"/>
      <c r="G428" s="73"/>
      <c r="H428" s="71"/>
      <c r="I428" s="122"/>
      <c r="J428" s="71" t="s">
        <v>83</v>
      </c>
      <c r="K428" s="149">
        <f>K385</f>
        <v>6.89</v>
      </c>
    </row>
    <row r="429" spans="1:11">
      <c r="A429" s="142"/>
      <c r="B429" s="81"/>
      <c r="C429" s="81"/>
      <c r="D429" s="83" t="s">
        <v>421</v>
      </c>
      <c r="E429" s="73"/>
      <c r="F429" s="71"/>
      <c r="G429" s="73"/>
      <c r="H429" s="71"/>
      <c r="I429" s="122"/>
      <c r="J429" s="71" t="s">
        <v>83</v>
      </c>
      <c r="K429" s="149">
        <f t="shared" ref="K429:K433" si="29">K386</f>
        <v>8.34</v>
      </c>
    </row>
    <row r="430" spans="1:11">
      <c r="A430" s="142"/>
      <c r="B430" s="81"/>
      <c r="C430" s="81"/>
      <c r="D430" s="83" t="s">
        <v>422</v>
      </c>
      <c r="E430" s="73"/>
      <c r="F430" s="71"/>
      <c r="G430" s="73"/>
      <c r="H430" s="71"/>
      <c r="I430" s="122"/>
      <c r="J430" s="71" t="s">
        <v>83</v>
      </c>
      <c r="K430" s="149">
        <f t="shared" si="29"/>
        <v>8.26</v>
      </c>
    </row>
    <row r="431" spans="1:11">
      <c r="A431" s="142"/>
      <c r="B431" s="81"/>
      <c r="C431" s="81"/>
      <c r="D431" s="83" t="s">
        <v>423</v>
      </c>
      <c r="E431" s="73"/>
      <c r="F431" s="71"/>
      <c r="G431" s="73"/>
      <c r="H431" s="71"/>
      <c r="I431" s="122"/>
      <c r="J431" s="71" t="s">
        <v>83</v>
      </c>
      <c r="K431" s="149">
        <f t="shared" si="29"/>
        <v>11.27</v>
      </c>
    </row>
    <row r="432" spans="1:11">
      <c r="A432" s="142"/>
      <c r="B432" s="81"/>
      <c r="C432" s="81"/>
      <c r="D432" s="83" t="s">
        <v>424</v>
      </c>
      <c r="E432" s="73"/>
      <c r="F432" s="71"/>
      <c r="G432" s="73"/>
      <c r="H432" s="71"/>
      <c r="I432" s="122"/>
      <c r="J432" s="71" t="s">
        <v>83</v>
      </c>
      <c r="K432" s="149">
        <f t="shared" si="29"/>
        <v>6.3</v>
      </c>
    </row>
    <row r="433" spans="1:11">
      <c r="A433" s="142"/>
      <c r="B433" s="81"/>
      <c r="C433" s="81"/>
      <c r="D433" s="83" t="s">
        <v>425</v>
      </c>
      <c r="E433" s="73"/>
      <c r="F433" s="71"/>
      <c r="G433" s="73"/>
      <c r="H433" s="71"/>
      <c r="I433" s="122"/>
      <c r="J433" s="71" t="s">
        <v>83</v>
      </c>
      <c r="K433" s="149">
        <f t="shared" si="29"/>
        <v>2.4300000000000002</v>
      </c>
    </row>
    <row r="434" spans="1:11">
      <c r="A434" s="142"/>
      <c r="B434" s="81"/>
      <c r="C434" s="81"/>
      <c r="D434" s="83"/>
      <c r="E434" s="73"/>
      <c r="F434" s="73"/>
      <c r="G434" s="73"/>
      <c r="H434" s="73"/>
      <c r="I434" s="73"/>
      <c r="J434" s="73"/>
      <c r="K434" s="144">
        <f>SUM(K428:K433)</f>
        <v>43.49</v>
      </c>
    </row>
    <row r="435" spans="1:11" ht="29.25" customHeight="1">
      <c r="A435" s="142" t="str">
        <f>'Planilha orç.'!A107</f>
        <v>8.1.7</v>
      </c>
      <c r="B435" s="81" t="str">
        <f>'Planilha orç.'!B107</f>
        <v>SINAPI</v>
      </c>
      <c r="C435" s="81" t="str">
        <f>'Planilha orç.'!C107</f>
        <v>87247</v>
      </c>
      <c r="D435" s="219" t="str">
        <f>'Planilha orç.'!D107</f>
        <v>REVESTIMENTO CERÂMICO PARA PISO COM PLACAS TIPO ESMALTADA DE DIMENSÕES 35X35 CM APLICADA EM AMBIENTES DE ÁREA ENTRE 5 M2 E 10 M2. AF_02/2023_PE</v>
      </c>
      <c r="E435" s="220"/>
      <c r="F435" s="220"/>
      <c r="G435" s="220"/>
      <c r="H435" s="220"/>
      <c r="I435" s="220"/>
      <c r="J435" s="220"/>
      <c r="K435" s="143" t="str">
        <f>'Planilha orç.'!E107</f>
        <v>M2</v>
      </c>
    </row>
    <row r="436" spans="1:11">
      <c r="A436" s="142"/>
      <c r="B436" s="81"/>
      <c r="C436" s="81"/>
      <c r="D436" s="83"/>
      <c r="E436" s="73"/>
      <c r="F436" s="73"/>
      <c r="G436" s="73"/>
      <c r="H436" s="73"/>
      <c r="I436" s="73"/>
      <c r="J436" s="73"/>
      <c r="K436" s="143" t="s">
        <v>126</v>
      </c>
    </row>
    <row r="437" spans="1:11">
      <c r="A437" s="142"/>
      <c r="B437" s="81"/>
      <c r="C437" s="81"/>
      <c r="D437" s="83" t="s">
        <v>420</v>
      </c>
      <c r="E437" s="73"/>
      <c r="F437" s="71"/>
      <c r="G437" s="73"/>
      <c r="H437" s="71"/>
      <c r="I437" s="122"/>
      <c r="J437" s="71" t="s">
        <v>83</v>
      </c>
      <c r="K437" s="149">
        <v>6.89</v>
      </c>
    </row>
    <row r="438" spans="1:11">
      <c r="A438" s="142"/>
      <c r="B438" s="81"/>
      <c r="C438" s="81"/>
      <c r="D438" s="83" t="s">
        <v>421</v>
      </c>
      <c r="E438" s="73"/>
      <c r="F438" s="71"/>
      <c r="G438" s="73"/>
      <c r="H438" s="71"/>
      <c r="I438" s="122"/>
      <c r="J438" s="71" t="s">
        <v>83</v>
      </c>
      <c r="K438" s="149">
        <v>8.34</v>
      </c>
    </row>
    <row r="439" spans="1:11">
      <c r="A439" s="142"/>
      <c r="B439" s="81"/>
      <c r="C439" s="81"/>
      <c r="D439" s="83" t="s">
        <v>422</v>
      </c>
      <c r="E439" s="73"/>
      <c r="F439" s="71"/>
      <c r="G439" s="73"/>
      <c r="H439" s="71"/>
      <c r="I439" s="122"/>
      <c r="J439" s="71" t="s">
        <v>83</v>
      </c>
      <c r="K439" s="149">
        <v>8.26</v>
      </c>
    </row>
    <row r="440" spans="1:11">
      <c r="A440" s="142"/>
      <c r="B440" s="81"/>
      <c r="C440" s="81"/>
      <c r="D440" s="83" t="s">
        <v>424</v>
      </c>
      <c r="E440" s="73"/>
      <c r="F440" s="71"/>
      <c r="G440" s="73"/>
      <c r="H440" s="71"/>
      <c r="I440" s="122"/>
      <c r="J440" s="71" t="s">
        <v>83</v>
      </c>
      <c r="K440" s="149">
        <v>6.3</v>
      </c>
    </row>
    <row r="441" spans="1:11">
      <c r="A441" s="142"/>
      <c r="B441" s="81"/>
      <c r="C441" s="81"/>
      <c r="D441" s="83"/>
      <c r="E441" s="73"/>
      <c r="F441" s="73"/>
      <c r="G441" s="73"/>
      <c r="H441" s="73"/>
      <c r="I441" s="73"/>
      <c r="J441" s="73"/>
      <c r="K441" s="144">
        <f>SUM(K437:K440)</f>
        <v>29.79</v>
      </c>
    </row>
    <row r="442" spans="1:11" ht="27" customHeight="1">
      <c r="A442" s="142" t="str">
        <f>'Planilha orç.'!A108</f>
        <v>8.1.8</v>
      </c>
      <c r="B442" s="81" t="str">
        <f>'Planilha orç.'!B108</f>
        <v>SINAPI</v>
      </c>
      <c r="C442" s="81" t="str">
        <f>'Planilha orç.'!C108</f>
        <v>87248</v>
      </c>
      <c r="D442" s="219" t="str">
        <f>'Planilha orç.'!D108</f>
        <v>REVESTIMENTO CERÂMICO PARA PISO COM PLACAS TIPO ESMALTADA DE DIMENSÕES 35X35 CM APLICADA EM AMBIENTES DE ÁREA MAIOR QUE 10 M2. AF_02/2023_PE</v>
      </c>
      <c r="E442" s="220"/>
      <c r="F442" s="220"/>
      <c r="G442" s="220"/>
      <c r="H442" s="220"/>
      <c r="I442" s="220"/>
      <c r="J442" s="220"/>
      <c r="K442" s="143" t="str">
        <f>'Planilha orç.'!E108</f>
        <v>M2</v>
      </c>
    </row>
    <row r="443" spans="1:11">
      <c r="A443" s="142"/>
      <c r="B443" s="81"/>
      <c r="C443" s="81"/>
      <c r="D443" s="83"/>
      <c r="E443" s="73"/>
      <c r="F443" s="73"/>
      <c r="G443" s="73"/>
      <c r="H443" s="73"/>
      <c r="I443" s="73"/>
      <c r="J443" s="73"/>
      <c r="K443" s="143" t="s">
        <v>126</v>
      </c>
    </row>
    <row r="444" spans="1:11">
      <c r="A444" s="142"/>
      <c r="B444" s="81"/>
      <c r="C444" s="81"/>
      <c r="D444" s="83" t="s">
        <v>419</v>
      </c>
      <c r="E444" s="73"/>
      <c r="F444" s="71"/>
      <c r="G444" s="73"/>
      <c r="H444" s="71"/>
      <c r="I444" s="122"/>
      <c r="J444" s="71" t="s">
        <v>83</v>
      </c>
      <c r="K444" s="149">
        <v>12.58</v>
      </c>
    </row>
    <row r="445" spans="1:11">
      <c r="A445" s="142"/>
      <c r="B445" s="81"/>
      <c r="C445" s="81"/>
      <c r="D445" s="83" t="s">
        <v>423</v>
      </c>
      <c r="E445" s="73"/>
      <c r="F445" s="71"/>
      <c r="G445" s="73"/>
      <c r="H445" s="71"/>
      <c r="I445" s="122"/>
      <c r="J445" s="71" t="s">
        <v>83</v>
      </c>
      <c r="K445" s="149">
        <v>11.27</v>
      </c>
    </row>
    <row r="446" spans="1:11">
      <c r="A446" s="142"/>
      <c r="B446" s="81"/>
      <c r="C446" s="81"/>
      <c r="D446" s="83"/>
      <c r="E446" s="73"/>
      <c r="F446" s="73"/>
      <c r="G446" s="73"/>
      <c r="H446" s="73"/>
      <c r="I446" s="73"/>
      <c r="J446" s="73"/>
      <c r="K446" s="144">
        <f>SUM(K444:K445)</f>
        <v>23.85</v>
      </c>
    </row>
    <row r="447" spans="1:11" ht="27" customHeight="1">
      <c r="A447" s="142" t="str">
        <f>'Planilha orç.'!A109</f>
        <v>8.1.9</v>
      </c>
      <c r="B447" s="81" t="str">
        <f>'Planilha orç.'!B109</f>
        <v>SINAPI</v>
      </c>
      <c r="C447" s="81" t="str">
        <f>'Planilha orç.'!C109</f>
        <v>87246</v>
      </c>
      <c r="D447" s="219" t="str">
        <f>'Planilha orç.'!D109</f>
        <v>REVESTIMENTO CERÂMICO PARA PISO COM PLACAS TIPO ESMALTADA DE DIMENSÕES 35X35 CM APLICADA EM AMBIENTES DE ÁREA MENOR QUE 5 M2. AF_02/2023_PE</v>
      </c>
      <c r="E447" s="220"/>
      <c r="F447" s="220"/>
      <c r="G447" s="220"/>
      <c r="H447" s="220"/>
      <c r="I447" s="220"/>
      <c r="J447" s="220"/>
      <c r="K447" s="143" t="str">
        <f>'Planilha orç.'!E109</f>
        <v>M2</v>
      </c>
    </row>
    <row r="448" spans="1:11">
      <c r="A448" s="142"/>
      <c r="B448" s="81"/>
      <c r="C448" s="81"/>
      <c r="D448" s="83"/>
      <c r="E448" s="73"/>
      <c r="F448" s="73"/>
      <c r="G448" s="73"/>
      <c r="H448" s="73"/>
      <c r="I448" s="73"/>
      <c r="J448" s="73"/>
      <c r="K448" s="143" t="s">
        <v>126</v>
      </c>
    </row>
    <row r="449" spans="1:11">
      <c r="A449" s="142"/>
      <c r="B449" s="81"/>
      <c r="C449" s="81"/>
      <c r="D449" s="83" t="s">
        <v>426</v>
      </c>
      <c r="E449" s="73"/>
      <c r="F449" s="71"/>
      <c r="G449" s="73"/>
      <c r="H449" s="71"/>
      <c r="I449" s="122"/>
      <c r="J449" s="71" t="s">
        <v>83</v>
      </c>
      <c r="K449" s="149">
        <v>4.37</v>
      </c>
    </row>
    <row r="450" spans="1:11">
      <c r="A450" s="142"/>
      <c r="B450" s="81"/>
      <c r="C450" s="81"/>
      <c r="D450" s="83" t="s">
        <v>425</v>
      </c>
      <c r="E450" s="73"/>
      <c r="F450" s="71"/>
      <c r="G450" s="73"/>
      <c r="H450" s="71"/>
      <c r="I450" s="122"/>
      <c r="J450" s="71" t="s">
        <v>83</v>
      </c>
      <c r="K450" s="149">
        <v>2.4300000000000002</v>
      </c>
    </row>
    <row r="451" spans="1:11">
      <c r="A451" s="142"/>
      <c r="B451" s="81"/>
      <c r="C451" s="81"/>
      <c r="D451" s="83" t="s">
        <v>427</v>
      </c>
      <c r="E451" s="73"/>
      <c r="F451" s="73"/>
      <c r="G451" s="73"/>
      <c r="H451" s="73"/>
      <c r="I451" s="73"/>
      <c r="J451" s="71" t="s">
        <v>83</v>
      </c>
      <c r="K451" s="143">
        <v>3.17</v>
      </c>
    </row>
    <row r="452" spans="1:11">
      <c r="A452" s="142"/>
      <c r="B452" s="81"/>
      <c r="C452" s="81"/>
      <c r="D452" s="83"/>
      <c r="E452" s="73"/>
      <c r="F452" s="73"/>
      <c r="G452" s="73"/>
      <c r="H452" s="73"/>
      <c r="I452" s="73"/>
      <c r="J452" s="73"/>
      <c r="K452" s="144">
        <f>SUM(K449:K451)</f>
        <v>9.9700000000000006</v>
      </c>
    </row>
    <row r="453" spans="1:11">
      <c r="A453" s="148" t="str">
        <f>'Planilha orç.'!A110</f>
        <v>8.2</v>
      </c>
      <c r="B453" s="221" t="str">
        <f>'Planilha orç.'!D110</f>
        <v>CIMENTADOS</v>
      </c>
      <c r="C453" s="222">
        <f>'Planilha orç.'!C110</f>
        <v>0</v>
      </c>
      <c r="D453" s="222" t="str">
        <f>'Planilha orç.'!D110</f>
        <v>CIMENTADOS</v>
      </c>
      <c r="E453" s="222"/>
      <c r="F453" s="222"/>
      <c r="G453" s="222"/>
      <c r="H453" s="222"/>
      <c r="I453" s="222"/>
      <c r="J453" s="222"/>
      <c r="K453" s="223" t="str">
        <f>'Planilha orç.'!E110</f>
        <v>-</v>
      </c>
    </row>
    <row r="454" spans="1:11" ht="26.25" customHeight="1">
      <c r="A454" s="142" t="str">
        <f>'Planilha orç.'!A111</f>
        <v>8.2.1</v>
      </c>
      <c r="B454" s="81" t="str">
        <f>'Planilha orç.'!B111</f>
        <v>SINAPI</v>
      </c>
      <c r="C454" s="81" t="str">
        <f>'Planilha orç.'!C111</f>
        <v>97084</v>
      </c>
      <c r="D454" s="219" t="str">
        <f>'Planilha orç.'!D111</f>
        <v>COMPACTAÇÃO MECÂNICA DE SOLO PARA EXECUÇÃO DE RADIER, PISO DE CONCRETO OU LAJE SOBRE SOLO, COM COMPACTADOR DE SOLOS TIPO PLACA VIBRATÓRIA. AF_09/2021</v>
      </c>
      <c r="E454" s="220"/>
      <c r="F454" s="220"/>
      <c r="G454" s="220"/>
      <c r="H454" s="220"/>
      <c r="I454" s="220"/>
      <c r="J454" s="220"/>
      <c r="K454" s="143" t="str">
        <f>'Planilha orç.'!E111</f>
        <v>M2</v>
      </c>
    </row>
    <row r="455" spans="1:11" ht="12.75" customHeight="1">
      <c r="A455" s="142"/>
      <c r="B455" s="81"/>
      <c r="C455" s="81"/>
      <c r="D455" s="83"/>
      <c r="E455" s="73" t="s">
        <v>442</v>
      </c>
      <c r="F455" s="73"/>
      <c r="G455" s="73" t="s">
        <v>79</v>
      </c>
      <c r="H455" s="73"/>
      <c r="I455" s="73" t="s">
        <v>84</v>
      </c>
      <c r="J455" s="73"/>
      <c r="K455" s="143"/>
    </row>
    <row r="456" spans="1:11" ht="12.75" customHeight="1">
      <c r="A456" s="142"/>
      <c r="B456" s="81"/>
      <c r="C456" s="81"/>
      <c r="D456" s="83"/>
      <c r="E456" s="73">
        <v>1</v>
      </c>
      <c r="F456" s="71" t="s">
        <v>82</v>
      </c>
      <c r="G456" s="73">
        <v>5.82</v>
      </c>
      <c r="H456" s="71" t="s">
        <v>82</v>
      </c>
      <c r="I456" s="73">
        <v>0.6</v>
      </c>
      <c r="J456" s="71" t="s">
        <v>83</v>
      </c>
      <c r="K456" s="143">
        <f>ROUND(E456*G456*I456,2)</f>
        <v>3.49</v>
      </c>
    </row>
    <row r="457" spans="1:11" ht="12.75" customHeight="1">
      <c r="A457" s="142"/>
      <c r="B457" s="81"/>
      <c r="C457" s="81"/>
      <c r="D457" s="83"/>
      <c r="E457" s="73">
        <v>1</v>
      </c>
      <c r="F457" s="71" t="s">
        <v>82</v>
      </c>
      <c r="G457" s="73">
        <v>8.98</v>
      </c>
      <c r="H457" s="71" t="s">
        <v>82</v>
      </c>
      <c r="I457" s="73">
        <v>0.6</v>
      </c>
      <c r="J457" s="71" t="s">
        <v>83</v>
      </c>
      <c r="K457" s="143">
        <f t="shared" ref="K457:K458" si="30">ROUND(E457*G457*I457,2)</f>
        <v>5.39</v>
      </c>
    </row>
    <row r="458" spans="1:11">
      <c r="A458" s="142"/>
      <c r="B458" s="81"/>
      <c r="C458" s="81"/>
      <c r="D458" s="83"/>
      <c r="E458" s="73">
        <v>2</v>
      </c>
      <c r="F458" s="71" t="s">
        <v>82</v>
      </c>
      <c r="G458" s="73">
        <f>7.78+0.6*2</f>
        <v>8.98</v>
      </c>
      <c r="H458" s="71" t="s">
        <v>82</v>
      </c>
      <c r="I458" s="73">
        <v>0.6</v>
      </c>
      <c r="J458" s="71" t="s">
        <v>83</v>
      </c>
      <c r="K458" s="143">
        <f t="shared" si="30"/>
        <v>10.78</v>
      </c>
    </row>
    <row r="459" spans="1:11">
      <c r="A459" s="142"/>
      <c r="B459" s="81"/>
      <c r="C459" s="81"/>
      <c r="D459" s="83"/>
      <c r="E459" s="73"/>
      <c r="F459" s="73"/>
      <c r="G459" s="73"/>
      <c r="H459" s="73"/>
      <c r="I459" s="73"/>
      <c r="J459" s="73"/>
      <c r="K459" s="144">
        <f>SUM(K456:K458)</f>
        <v>19.66</v>
      </c>
    </row>
    <row r="460" spans="1:11" ht="26.25" customHeight="1">
      <c r="A460" s="142" t="str">
        <f>'Planilha orç.'!A112</f>
        <v>8.2.2</v>
      </c>
      <c r="B460" s="81" t="str">
        <f>'Planilha orç.'!B112</f>
        <v>SINAPI</v>
      </c>
      <c r="C460" s="81" t="str">
        <f>'Planilha orç.'!C112</f>
        <v>94990</v>
      </c>
      <c r="D460" s="219" t="str">
        <f>'Planilha orç.'!D112</f>
        <v>EXECUÇÃO DE PASSEIO (CALÇADA) OU PISO DE CONCRETO COM CONCRETO MOLDADO IN LOCO, FEITO EM OBRA, ACABAMENTO CONVENCIONAL, NÃO ARMADO. AF_08/2022</v>
      </c>
      <c r="E460" s="220"/>
      <c r="F460" s="220"/>
      <c r="G460" s="220"/>
      <c r="H460" s="220"/>
      <c r="I460" s="220"/>
      <c r="J460" s="220"/>
      <c r="K460" s="143" t="str">
        <f>'Planilha orç.'!E112</f>
        <v>M3</v>
      </c>
    </row>
    <row r="461" spans="1:11">
      <c r="A461" s="142"/>
      <c r="B461" s="81"/>
      <c r="C461" s="81"/>
      <c r="D461" s="83"/>
      <c r="E461" s="73"/>
      <c r="F461" s="73"/>
      <c r="G461" s="73" t="s">
        <v>85</v>
      </c>
      <c r="H461" s="73"/>
      <c r="I461" s="73" t="s">
        <v>129</v>
      </c>
      <c r="J461" s="73"/>
      <c r="K461" s="143"/>
    </row>
    <row r="462" spans="1:11">
      <c r="A462" s="142"/>
      <c r="B462" s="81"/>
      <c r="C462" s="81"/>
      <c r="D462" s="83"/>
      <c r="E462" s="73"/>
      <c r="F462" s="73"/>
      <c r="G462" s="87">
        <f>K459</f>
        <v>19.66</v>
      </c>
      <c r="H462" s="73"/>
      <c r="I462" s="73">
        <v>7.0000000000000007E-2</v>
      </c>
      <c r="J462" s="73"/>
      <c r="K462" s="143">
        <f>ROUND(G462*I462,2)</f>
        <v>1.38</v>
      </c>
    </row>
    <row r="463" spans="1:11">
      <c r="A463" s="142"/>
      <c r="B463" s="81"/>
      <c r="C463" s="81"/>
      <c r="D463" s="83"/>
      <c r="E463" s="73"/>
      <c r="F463" s="73"/>
      <c r="G463" s="73"/>
      <c r="H463" s="73"/>
      <c r="I463" s="73"/>
      <c r="J463" s="73"/>
      <c r="K463" s="144">
        <f>K462</f>
        <v>1.38</v>
      </c>
    </row>
    <row r="464" spans="1:11">
      <c r="A464" s="148" t="str">
        <f>'Planilha orç.'!A113</f>
        <v>8.3</v>
      </c>
      <c r="B464" s="221" t="str">
        <f>'Planilha orç.'!D113</f>
        <v>RODAPÉS, SOLEIRAS E PEITORIS</v>
      </c>
      <c r="C464" s="222">
        <f>'Planilha orç.'!C113</f>
        <v>0</v>
      </c>
      <c r="D464" s="222" t="str">
        <f>'Planilha orç.'!D113</f>
        <v>RODAPÉS, SOLEIRAS E PEITORIS</v>
      </c>
      <c r="E464" s="222"/>
      <c r="F464" s="222"/>
      <c r="G464" s="222"/>
      <c r="H464" s="222"/>
      <c r="I464" s="222"/>
      <c r="J464" s="222"/>
      <c r="K464" s="223" t="str">
        <f>'Planilha orç.'!E113</f>
        <v>-</v>
      </c>
    </row>
    <row r="465" spans="1:11">
      <c r="A465" s="142" t="str">
        <f>'Planilha orç.'!A114</f>
        <v>8.3.1</v>
      </c>
      <c r="B465" s="81" t="str">
        <f>'Planilha orç.'!B114</f>
        <v>SINAPI</v>
      </c>
      <c r="C465" s="81" t="str">
        <f>'Planilha orç.'!C114</f>
        <v>98695</v>
      </c>
      <c r="D465" s="219" t="str">
        <f>'Planilha orç.'!D114</f>
        <v>SOLEIRA EM MÁRMORE, LARGURA 15 CM, ESPESSURA 2,0 CM. AF_09/2020</v>
      </c>
      <c r="E465" s="220"/>
      <c r="F465" s="220"/>
      <c r="G465" s="220"/>
      <c r="H465" s="220"/>
      <c r="I465" s="220"/>
      <c r="J465" s="220"/>
      <c r="K465" s="143" t="str">
        <f>'Planilha orç.'!E114</f>
        <v>M</v>
      </c>
    </row>
    <row r="466" spans="1:11" ht="12.75" customHeight="1">
      <c r="A466" s="142"/>
      <c r="B466" s="81"/>
      <c r="C466" s="81"/>
      <c r="D466" s="83"/>
      <c r="E466" s="73"/>
      <c r="F466" s="73"/>
      <c r="G466" s="73" t="s">
        <v>339</v>
      </c>
      <c r="H466" s="73"/>
      <c r="I466" s="73" t="s">
        <v>79</v>
      </c>
      <c r="J466" s="73"/>
      <c r="K466" s="143"/>
    </row>
    <row r="467" spans="1:11">
      <c r="A467" s="142"/>
      <c r="B467" s="81"/>
      <c r="C467" s="81"/>
      <c r="D467" s="83"/>
      <c r="E467" s="73"/>
      <c r="F467" s="73"/>
      <c r="G467" s="122">
        <v>6</v>
      </c>
      <c r="H467" s="127" t="s">
        <v>82</v>
      </c>
      <c r="I467" s="122">
        <v>0.9</v>
      </c>
      <c r="J467" s="71" t="s">
        <v>83</v>
      </c>
      <c r="K467" s="143">
        <f>ROUND(G467*I467,2)</f>
        <v>5.4</v>
      </c>
    </row>
    <row r="468" spans="1:11">
      <c r="A468" s="142"/>
      <c r="B468" s="81"/>
      <c r="C468" s="81"/>
      <c r="D468" s="83"/>
      <c r="E468" s="73"/>
      <c r="F468" s="73"/>
      <c r="G468" s="122">
        <v>1</v>
      </c>
      <c r="H468" s="127" t="s">
        <v>82</v>
      </c>
      <c r="I468" s="122">
        <v>1.1200000000000001</v>
      </c>
      <c r="J468" s="71" t="s">
        <v>83</v>
      </c>
      <c r="K468" s="143">
        <f>ROUND(G468*I468,2)</f>
        <v>1.1200000000000001</v>
      </c>
    </row>
    <row r="469" spans="1:11">
      <c r="A469" s="142"/>
      <c r="B469" s="81"/>
      <c r="C469" s="81"/>
      <c r="D469" s="83"/>
      <c r="E469" s="73"/>
      <c r="F469" s="73"/>
      <c r="G469" s="122">
        <v>1</v>
      </c>
      <c r="H469" s="127" t="s">
        <v>82</v>
      </c>
      <c r="I469" s="122">
        <v>1.2</v>
      </c>
      <c r="J469" s="71" t="s">
        <v>83</v>
      </c>
      <c r="K469" s="143">
        <f>ROUND(G469*I469,2)</f>
        <v>1.2</v>
      </c>
    </row>
    <row r="470" spans="1:11">
      <c r="A470" s="142"/>
      <c r="B470" s="81"/>
      <c r="C470" s="81"/>
      <c r="D470" s="83"/>
      <c r="E470" s="73"/>
      <c r="F470" s="73"/>
      <c r="G470" s="73"/>
      <c r="H470" s="73"/>
      <c r="I470" s="73"/>
      <c r="J470" s="73"/>
      <c r="K470" s="144">
        <f>SUM(K467:K469)</f>
        <v>7.72</v>
      </c>
    </row>
    <row r="471" spans="1:11" ht="27" customHeight="1">
      <c r="A471" s="142" t="str">
        <f>'Planilha orç.'!A115</f>
        <v>8.3.2</v>
      </c>
      <c r="B471" s="81" t="str">
        <f>'Planilha orç.'!B115</f>
        <v>SINAPI</v>
      </c>
      <c r="C471" s="81" t="str">
        <f>'Planilha orç.'!C115</f>
        <v>88648</v>
      </c>
      <c r="D471" s="219" t="str">
        <f>'Planilha orç.'!D115</f>
        <v>RODAPÉ CERÂMICO DE 7CM DE ALTURA COM PLACAS TIPO ESMALTADA DE DIMENSÕES 35X35CM. AF_02/2023</v>
      </c>
      <c r="E471" s="220"/>
      <c r="F471" s="220"/>
      <c r="G471" s="220"/>
      <c r="H471" s="220"/>
      <c r="I471" s="220"/>
      <c r="J471" s="220"/>
      <c r="K471" s="143" t="str">
        <f>'Planilha orç.'!E115</f>
        <v>M</v>
      </c>
    </row>
    <row r="472" spans="1:11">
      <c r="A472" s="142"/>
      <c r="B472" s="81"/>
      <c r="C472" s="81"/>
      <c r="D472" s="83"/>
      <c r="E472" s="73"/>
      <c r="F472" s="73"/>
      <c r="G472" s="73" t="s">
        <v>431</v>
      </c>
      <c r="H472" s="73"/>
      <c r="I472" s="73" t="s">
        <v>402</v>
      </c>
      <c r="J472" s="73"/>
      <c r="K472" s="143"/>
    </row>
    <row r="473" spans="1:11">
      <c r="A473" s="142"/>
      <c r="B473" s="81"/>
      <c r="C473" s="81"/>
      <c r="D473" s="83" t="s">
        <v>420</v>
      </c>
      <c r="E473" s="73"/>
      <c r="F473" s="71"/>
      <c r="G473" s="73">
        <f>3.03*2+2.19*2+0.18*2</f>
        <v>10.8</v>
      </c>
      <c r="H473" s="71" t="s">
        <v>127</v>
      </c>
      <c r="I473" s="122">
        <f>1.2+0.9</f>
        <v>2.1</v>
      </c>
      <c r="J473" s="71" t="s">
        <v>83</v>
      </c>
      <c r="K473" s="143">
        <f>ROUND(G473-I473,2)</f>
        <v>8.6999999999999993</v>
      </c>
    </row>
    <row r="474" spans="1:11">
      <c r="A474" s="142"/>
      <c r="B474" s="81"/>
      <c r="C474" s="81"/>
      <c r="D474" s="83" t="s">
        <v>421</v>
      </c>
      <c r="E474" s="73"/>
      <c r="F474" s="71"/>
      <c r="G474" s="73">
        <f>2.67*2+3.09*2</f>
        <v>11.52</v>
      </c>
      <c r="H474" s="71" t="s">
        <v>127</v>
      </c>
      <c r="I474" s="122">
        <v>0.9</v>
      </c>
      <c r="J474" s="71" t="s">
        <v>83</v>
      </c>
      <c r="K474" s="143">
        <f t="shared" ref="K474:K479" si="31">ROUND(G474-I474,2)</f>
        <v>10.62</v>
      </c>
    </row>
    <row r="475" spans="1:11">
      <c r="A475" s="142"/>
      <c r="B475" s="81"/>
      <c r="C475" s="81"/>
      <c r="D475" s="83" t="s">
        <v>422</v>
      </c>
      <c r="E475" s="73"/>
      <c r="F475" s="71"/>
      <c r="G475" s="73">
        <f>2.7*2+3.09*2</f>
        <v>11.58</v>
      </c>
      <c r="H475" s="71" t="s">
        <v>127</v>
      </c>
      <c r="I475" s="122">
        <v>0.9</v>
      </c>
      <c r="J475" s="71" t="s">
        <v>83</v>
      </c>
      <c r="K475" s="143">
        <f t="shared" si="31"/>
        <v>10.68</v>
      </c>
    </row>
    <row r="476" spans="1:11">
      <c r="A476" s="142"/>
      <c r="B476" s="81"/>
      <c r="C476" s="81"/>
      <c r="D476" s="83" t="s">
        <v>423</v>
      </c>
      <c r="E476" s="73"/>
      <c r="F476" s="71"/>
      <c r="G476" s="73">
        <f>3.82*2+2.95*2</f>
        <v>13.54</v>
      </c>
      <c r="H476" s="71" t="s">
        <v>127</v>
      </c>
      <c r="I476" s="122">
        <v>0.9</v>
      </c>
      <c r="J476" s="71" t="s">
        <v>83</v>
      </c>
      <c r="K476" s="143">
        <f t="shared" si="31"/>
        <v>12.64</v>
      </c>
    </row>
    <row r="477" spans="1:11">
      <c r="A477" s="142"/>
      <c r="B477" s="81"/>
      <c r="C477" s="81"/>
      <c r="D477" s="83" t="s">
        <v>424</v>
      </c>
      <c r="E477" s="73"/>
      <c r="F477" s="71"/>
      <c r="G477" s="73">
        <f>5.63*2+1.12*2</f>
        <v>13.5</v>
      </c>
      <c r="H477" s="71" t="s">
        <v>127</v>
      </c>
      <c r="I477" s="122">
        <f>1.12+0.9*4</f>
        <v>4.72</v>
      </c>
      <c r="J477" s="71" t="s">
        <v>83</v>
      </c>
      <c r="K477" s="143">
        <f t="shared" si="31"/>
        <v>8.7799999999999994</v>
      </c>
    </row>
    <row r="478" spans="1:11">
      <c r="A478" s="142"/>
      <c r="B478" s="81"/>
      <c r="C478" s="81"/>
      <c r="D478" s="83" t="s">
        <v>425</v>
      </c>
      <c r="E478" s="73"/>
      <c r="F478" s="71"/>
      <c r="G478" s="73">
        <f>0.8*2+3.03*2</f>
        <v>7.66</v>
      </c>
      <c r="H478" s="71" t="s">
        <v>127</v>
      </c>
      <c r="I478" s="122">
        <f>0.9</f>
        <v>0.9</v>
      </c>
      <c r="J478" s="71" t="s">
        <v>83</v>
      </c>
      <c r="K478" s="143">
        <f t="shared" si="31"/>
        <v>6.76</v>
      </c>
    </row>
    <row r="479" spans="1:11">
      <c r="A479" s="142"/>
      <c r="B479" s="81"/>
      <c r="C479" s="81"/>
      <c r="D479" s="83" t="s">
        <v>447</v>
      </c>
      <c r="E479" s="73"/>
      <c r="F479" s="71"/>
      <c r="G479" s="73">
        <f>8.98+5.82+0.2+7.78+7.78+0.8+0.8+3.03</f>
        <v>35.19</v>
      </c>
      <c r="H479" s="71" t="s">
        <v>127</v>
      </c>
      <c r="I479" s="73"/>
      <c r="J479" s="71" t="s">
        <v>83</v>
      </c>
      <c r="K479" s="143">
        <f t="shared" si="31"/>
        <v>35.19</v>
      </c>
    </row>
    <row r="480" spans="1:11">
      <c r="A480" s="142"/>
      <c r="B480" s="81"/>
      <c r="C480" s="81"/>
      <c r="D480" s="83"/>
      <c r="E480" s="73"/>
      <c r="F480" s="73"/>
      <c r="G480" s="73"/>
      <c r="H480" s="73"/>
      <c r="I480" s="73"/>
      <c r="J480" s="73"/>
      <c r="K480" s="144">
        <f>SUM(K473:K479)</f>
        <v>93.37</v>
      </c>
    </row>
    <row r="481" spans="1:11" ht="27.75" customHeight="1">
      <c r="A481" s="142" t="str">
        <f>'Planilha orç.'!A116</f>
        <v>8.3.3</v>
      </c>
      <c r="B481" s="81" t="str">
        <f>'Planilha orç.'!B116</f>
        <v>SINAPI</v>
      </c>
      <c r="C481" s="81" t="str">
        <f>'Planilha orç.'!C116</f>
        <v>101965</v>
      </c>
      <c r="D481" s="219" t="str">
        <f>'Planilha orç.'!D116</f>
        <v>PEITORIL LINEAR EM GRANITO OU MÁRMORE, L = 15CM, ASSENTADO COM ARGAMASSA 1:6 COM ADITIVO. AF_11/2020</v>
      </c>
      <c r="E481" s="220"/>
      <c r="F481" s="220"/>
      <c r="G481" s="220"/>
      <c r="H481" s="220"/>
      <c r="I481" s="220"/>
      <c r="J481" s="220"/>
      <c r="K481" s="143" t="str">
        <f>'Planilha orç.'!E116</f>
        <v>M</v>
      </c>
    </row>
    <row r="482" spans="1:11">
      <c r="A482" s="142"/>
      <c r="B482" s="81"/>
      <c r="C482" s="81"/>
      <c r="D482" s="83"/>
      <c r="E482" s="73"/>
      <c r="F482" s="73"/>
      <c r="G482" s="73" t="s">
        <v>339</v>
      </c>
      <c r="H482" s="73"/>
      <c r="I482" s="73" t="s">
        <v>79</v>
      </c>
      <c r="J482" s="73"/>
      <c r="K482" s="143"/>
    </row>
    <row r="483" spans="1:11">
      <c r="A483" s="142"/>
      <c r="B483" s="81"/>
      <c r="C483" s="81"/>
      <c r="D483" s="83"/>
      <c r="E483" s="73"/>
      <c r="F483" s="73"/>
      <c r="G483" s="73">
        <v>6</v>
      </c>
      <c r="H483" s="127" t="s">
        <v>82</v>
      </c>
      <c r="I483" s="73">
        <v>1.5</v>
      </c>
      <c r="J483" s="71" t="s">
        <v>83</v>
      </c>
      <c r="K483" s="143">
        <f>ROUND(G483*I483,2)</f>
        <v>9</v>
      </c>
    </row>
    <row r="484" spans="1:11">
      <c r="A484" s="142"/>
      <c r="B484" s="81"/>
      <c r="C484" s="81"/>
      <c r="D484" s="83"/>
      <c r="E484" s="73"/>
      <c r="F484" s="73"/>
      <c r="G484" s="73">
        <v>2</v>
      </c>
      <c r="H484" s="127" t="s">
        <v>82</v>
      </c>
      <c r="I484" s="73">
        <v>0.8</v>
      </c>
      <c r="J484" s="71" t="s">
        <v>83</v>
      </c>
      <c r="K484" s="143">
        <f>ROUND(G484*I484,2)</f>
        <v>1.6</v>
      </c>
    </row>
    <row r="485" spans="1:11">
      <c r="A485" s="142"/>
      <c r="B485" s="81"/>
      <c r="C485" s="81"/>
      <c r="D485" s="83"/>
      <c r="E485" s="73"/>
      <c r="F485" s="73"/>
      <c r="G485" s="73"/>
      <c r="H485" s="73"/>
      <c r="I485" s="73"/>
      <c r="J485" s="73"/>
      <c r="K485" s="144">
        <f>SUM(K483:K484)</f>
        <v>10.6</v>
      </c>
    </row>
    <row r="486" spans="1:11">
      <c r="A486" s="151">
        <f>'Planilha orç.'!A117</f>
        <v>9</v>
      </c>
      <c r="B486" s="221" t="str">
        <f>'Planilha orç.'!D117</f>
        <v>INSTALAÇÕES</v>
      </c>
      <c r="C486" s="222">
        <f>'Planilha orç.'!C117</f>
        <v>0</v>
      </c>
      <c r="D486" s="222" t="str">
        <f>'Planilha orç.'!D117</f>
        <v>INSTALAÇÕES</v>
      </c>
      <c r="E486" s="222"/>
      <c r="F486" s="222"/>
      <c r="G486" s="222"/>
      <c r="H486" s="222"/>
      <c r="I486" s="222"/>
      <c r="J486" s="222"/>
      <c r="K486" s="223" t="str">
        <f>'Planilha orç.'!E117</f>
        <v>-</v>
      </c>
    </row>
    <row r="487" spans="1:11">
      <c r="A487" s="148" t="str">
        <f>'Planilha orç.'!A118</f>
        <v>9.1</v>
      </c>
      <c r="B487" s="221" t="str">
        <f>'Planilha orç.'!D118</f>
        <v>ELÉTRICAS / TELEFÔNICAS</v>
      </c>
      <c r="C487" s="222">
        <f>'Planilha orç.'!C118</f>
        <v>0</v>
      </c>
      <c r="D487" s="222" t="str">
        <f>'Planilha orç.'!D118</f>
        <v>ELÉTRICAS / TELEFÔNICAS</v>
      </c>
      <c r="E487" s="222"/>
      <c r="F487" s="222"/>
      <c r="G487" s="222"/>
      <c r="H487" s="222"/>
      <c r="I487" s="222"/>
      <c r="J487" s="222"/>
      <c r="K487" s="223" t="str">
        <f>'Planilha orç.'!E118</f>
        <v>-</v>
      </c>
    </row>
    <row r="488" spans="1:11">
      <c r="A488" s="148" t="str">
        <f>'Planilha orç.'!A119</f>
        <v>9.1.1</v>
      </c>
      <c r="B488" s="221" t="str">
        <f>'Planilha orç.'!D119</f>
        <v>CENTRO DE DISTRIBUIÇÃO</v>
      </c>
      <c r="C488" s="222">
        <f>'Planilha orç.'!C119</f>
        <v>0</v>
      </c>
      <c r="D488" s="222" t="str">
        <f>'Planilha orç.'!D119</f>
        <v>CENTRO DE DISTRIBUIÇÃO</v>
      </c>
      <c r="E488" s="222"/>
      <c r="F488" s="222"/>
      <c r="G488" s="222"/>
      <c r="H488" s="222"/>
      <c r="I488" s="222"/>
      <c r="J488" s="222"/>
      <c r="K488" s="223" t="str">
        <f>'Planilha orç.'!E119</f>
        <v>-</v>
      </c>
    </row>
    <row r="489" spans="1:11" ht="24.75" customHeight="1">
      <c r="A489" s="142" t="str">
        <f>'Planilha orç.'!A120</f>
        <v>9.1.1.1</v>
      </c>
      <c r="B489" s="81" t="str">
        <f>'Planilha orç.'!B120</f>
        <v>SICOR-MG</v>
      </c>
      <c r="C489" s="81" t="str">
        <f>'Planilha orç.'!C120</f>
        <v>ED-34460</v>
      </c>
      <c r="D489" s="219" t="str">
        <f>'Planilha orç.'!D120</f>
        <v>DISJUNTOR MONOPOLAR TIPO DIN, CORRENTE NOMINAL DE 10A, FORNECIMENTO E INSTALAÇÃO, INCLUSIVE TERMINAL ILHÓS</v>
      </c>
      <c r="E489" s="220"/>
      <c r="F489" s="220"/>
      <c r="G489" s="220"/>
      <c r="H489" s="220"/>
      <c r="I489" s="220"/>
      <c r="J489" s="220"/>
      <c r="K489" s="143" t="str">
        <f>'Planilha orç.'!E120</f>
        <v>UN</v>
      </c>
    </row>
    <row r="490" spans="1:11">
      <c r="A490" s="142"/>
      <c r="B490" s="81"/>
      <c r="C490" s="81"/>
      <c r="D490" s="83"/>
      <c r="E490" s="73"/>
      <c r="F490" s="73"/>
      <c r="G490" s="73"/>
      <c r="H490" s="73"/>
      <c r="I490" s="73"/>
      <c r="J490" s="73"/>
      <c r="K490" s="144">
        <v>1</v>
      </c>
    </row>
    <row r="491" spans="1:11" ht="25.5" customHeight="1">
      <c r="A491" s="142" t="str">
        <f>'Planilha orç.'!A121</f>
        <v>9.1.1.2</v>
      </c>
      <c r="B491" s="81" t="str">
        <f>'Planilha orç.'!B121</f>
        <v>SICOR-MG</v>
      </c>
      <c r="C491" s="81" t="str">
        <f>'Planilha orç.'!C121</f>
        <v>ED-34461</v>
      </c>
      <c r="D491" s="219" t="str">
        <f>'Planilha orç.'!D121</f>
        <v>DISJUNTOR MONOPOLAR TIPO DIN, CORRENTE NOMINAL DE 16A, FORNECIMENTO E INSTALAÇÃO, INCLUSIVE TERMINAL ILHÓS</v>
      </c>
      <c r="E491" s="220"/>
      <c r="F491" s="220"/>
      <c r="G491" s="220"/>
      <c r="H491" s="220"/>
      <c r="I491" s="220"/>
      <c r="J491" s="220"/>
      <c r="K491" s="143" t="str">
        <f>'Planilha orç.'!E121</f>
        <v>UN</v>
      </c>
    </row>
    <row r="492" spans="1:11">
      <c r="A492" s="142"/>
      <c r="B492" s="81"/>
      <c r="C492" s="81"/>
      <c r="D492" s="83"/>
      <c r="E492" s="73"/>
      <c r="F492" s="73"/>
      <c r="G492" s="73"/>
      <c r="H492" s="73"/>
      <c r="I492" s="73"/>
      <c r="J492" s="73"/>
      <c r="K492" s="144">
        <v>4</v>
      </c>
    </row>
    <row r="493" spans="1:11" ht="27" customHeight="1">
      <c r="A493" s="142" t="str">
        <f>'Planilha orç.'!A122</f>
        <v>9.1.1.3</v>
      </c>
      <c r="B493" s="81" t="str">
        <f>'Planilha orç.'!B122</f>
        <v>SICOR-MG</v>
      </c>
      <c r="C493" s="81" t="str">
        <f>'Planilha orç.'!C122</f>
        <v>ED-34462</v>
      </c>
      <c r="D493" s="219" t="str">
        <f>'Planilha orç.'!D122</f>
        <v>DISJUNTOR MONOPOLAR TIPO DIN, CORRENTE NOMINAL DE 20A, FORNECIMENTO E INSTALAÇÃO, INCLUSIVE TERMINAL ILHÓS</v>
      </c>
      <c r="E493" s="220"/>
      <c r="F493" s="220"/>
      <c r="G493" s="220"/>
      <c r="H493" s="220"/>
      <c r="I493" s="220"/>
      <c r="J493" s="220"/>
      <c r="K493" s="143" t="str">
        <f>'Planilha orç.'!E122</f>
        <v>UN</v>
      </c>
    </row>
    <row r="494" spans="1:11">
      <c r="A494" s="142"/>
      <c r="B494" s="81"/>
      <c r="C494" s="81"/>
      <c r="D494" s="83"/>
      <c r="E494" s="73"/>
      <c r="F494" s="73"/>
      <c r="G494" s="73"/>
      <c r="H494" s="73"/>
      <c r="I494" s="73"/>
      <c r="J494" s="73"/>
      <c r="K494" s="144">
        <v>1</v>
      </c>
    </row>
    <row r="495" spans="1:11" ht="27.75" customHeight="1">
      <c r="A495" s="142" t="str">
        <f>'Planilha orç.'!A123</f>
        <v>9.1.1.4</v>
      </c>
      <c r="B495" s="81" t="str">
        <f>'Planilha orç.'!B123</f>
        <v>SICOR-MG</v>
      </c>
      <c r="C495" s="81" t="str">
        <f>'Planilha orç.'!C123</f>
        <v>ED-34478</v>
      </c>
      <c r="D495" s="219" t="str">
        <f>'Planilha orç.'!D123</f>
        <v>DISJUNTOR BIPOLAR TIPO DIN, CORRENTE NOMINAL DE 40A, FORNECIMENTO E INSTALAÇÃO, INCLUSIVE TERMINAL ILHÓS</v>
      </c>
      <c r="E495" s="220"/>
      <c r="F495" s="220"/>
      <c r="G495" s="220"/>
      <c r="H495" s="220"/>
      <c r="I495" s="220"/>
      <c r="J495" s="220"/>
      <c r="K495" s="143" t="str">
        <f>'Planilha orç.'!E123</f>
        <v>UN</v>
      </c>
    </row>
    <row r="496" spans="1:11">
      <c r="A496" s="142"/>
      <c r="B496" s="81"/>
      <c r="C496" s="81"/>
      <c r="D496" s="83"/>
      <c r="E496" s="73"/>
      <c r="F496" s="73"/>
      <c r="G496" s="73"/>
      <c r="H496" s="73"/>
      <c r="I496" s="73"/>
      <c r="J496" s="73"/>
      <c r="K496" s="144">
        <v>1</v>
      </c>
    </row>
    <row r="497" spans="1:11" ht="26.25" customHeight="1">
      <c r="A497" s="142" t="str">
        <f>'Planilha orç.'!A124</f>
        <v>9.1.1.5</v>
      </c>
      <c r="B497" s="81" t="str">
        <f>'Planilha orç.'!B124</f>
        <v>SICOR-MG</v>
      </c>
      <c r="C497" s="81" t="str">
        <f>'Planilha orç.'!C124</f>
        <v>ED-34493</v>
      </c>
      <c r="D497" s="219" t="str">
        <f>'Planilha orç.'!D124</f>
        <v>DISJUNTOR TRIPOLAR TIPO DIN, CORRENTE NOMINAL DE 63A, FORNECIMENTO E INSTALAÇÃO, INCLUSIVE TERMINAL ILHÓS</v>
      </c>
      <c r="E497" s="220"/>
      <c r="F497" s="220"/>
      <c r="G497" s="220"/>
      <c r="H497" s="220"/>
      <c r="I497" s="220"/>
      <c r="J497" s="220"/>
      <c r="K497" s="143" t="str">
        <f>'Planilha orç.'!E124</f>
        <v>UN</v>
      </c>
    </row>
    <row r="498" spans="1:11">
      <c r="A498" s="142"/>
      <c r="B498" s="81"/>
      <c r="C498" s="81"/>
      <c r="D498" s="83"/>
      <c r="E498" s="73"/>
      <c r="F498" s="73"/>
      <c r="G498" s="73"/>
      <c r="H498" s="73"/>
      <c r="I498" s="73"/>
      <c r="J498" s="73"/>
      <c r="K498" s="144">
        <v>1</v>
      </c>
    </row>
    <row r="499" spans="1:11" ht="26.25" customHeight="1">
      <c r="A499" s="142" t="str">
        <f>'Planilha orç.'!A125</f>
        <v>9.1.1.6</v>
      </c>
      <c r="B499" s="81" t="str">
        <f>'Planilha orç.'!B125</f>
        <v>SICOR-MG</v>
      </c>
      <c r="C499" s="81" t="str">
        <f>'Planilha orç.'!C125</f>
        <v>ED-16600</v>
      </c>
      <c r="D499" s="219" t="str">
        <f>'Planilha orç.'!D125</f>
        <v>DISPOSITIVO DE PROTEÇÃO CONTRA SURTOS (DPS) MONOPOLAR, CORRENTE DE INTERRUPÇÃO 20KA, INCLUSIVE TERMINAL ILHÓS</v>
      </c>
      <c r="E499" s="220"/>
      <c r="F499" s="220"/>
      <c r="G499" s="220"/>
      <c r="H499" s="220"/>
      <c r="I499" s="220"/>
      <c r="J499" s="220"/>
      <c r="K499" s="143" t="str">
        <f>'Planilha orç.'!E125</f>
        <v>UN</v>
      </c>
    </row>
    <row r="500" spans="1:11">
      <c r="A500" s="142"/>
      <c r="B500" s="81"/>
      <c r="C500" s="81"/>
      <c r="D500" s="83"/>
      <c r="E500" s="73"/>
      <c r="F500" s="73"/>
      <c r="G500" s="73"/>
      <c r="H500" s="73"/>
      <c r="I500" s="73"/>
      <c r="J500" s="73"/>
      <c r="K500" s="144">
        <v>4</v>
      </c>
    </row>
    <row r="501" spans="1:11" ht="26.25" customHeight="1">
      <c r="A501" s="142" t="str">
        <f>'Planilha orç.'!A126</f>
        <v>9.1.1.7</v>
      </c>
      <c r="B501" s="81" t="str">
        <f>'Planilha orç.'!B126</f>
        <v>SICOR-MG</v>
      </c>
      <c r="C501" s="81" t="str">
        <f>'Planilha orç.'!C126</f>
        <v>ED-15117</v>
      </c>
      <c r="D501" s="219" t="str">
        <f>'Planilha orç.'!D126</f>
        <v>DISJUNTOR DE PROTEÇÃO DIFERENCIAL RESIDUAL (DR), TETRAPOLAR TIPO DIN, CORRENTE NOMINAL DE 63A, SENSIBILIDADE DE 30MA, FORNECIMENTO E INSTALAÇÃO, INCLUSIVE TERMINAL ILHÓS</v>
      </c>
      <c r="E501" s="220"/>
      <c r="F501" s="220"/>
      <c r="G501" s="220"/>
      <c r="H501" s="220"/>
      <c r="I501" s="220"/>
      <c r="J501" s="220"/>
      <c r="K501" s="143" t="str">
        <f>'Planilha orç.'!E126</f>
        <v>UN</v>
      </c>
    </row>
    <row r="502" spans="1:11">
      <c r="A502" s="142"/>
      <c r="B502" s="81"/>
      <c r="C502" s="81"/>
      <c r="D502" s="83"/>
      <c r="E502" s="73"/>
      <c r="F502" s="73"/>
      <c r="G502" s="73"/>
      <c r="H502" s="73"/>
      <c r="I502" s="73"/>
      <c r="J502" s="73"/>
      <c r="K502" s="144">
        <v>1</v>
      </c>
    </row>
    <row r="503" spans="1:11" ht="25.5" customHeight="1">
      <c r="A503" s="142" t="str">
        <f>'Planilha orç.'!A127</f>
        <v>9.1.1.8</v>
      </c>
      <c r="B503" s="81" t="str">
        <f>'Planilha orç.'!B127</f>
        <v>SICOR-MG</v>
      </c>
      <c r="C503" s="81" t="str">
        <f>'Planilha orç.'!C127</f>
        <v>ED-14186</v>
      </c>
      <c r="D503" s="219" t="str">
        <f>'Planilha orç.'!D127</f>
        <v>QUADRO DE DISTRIBUIÇÃO DE EMBUTIR EM CHAPA, PARA 16 DISJUNTORES DIN, INCLUSIVE BARRAMENTOS NEUTRO/TERRA E BARRAMENTO TRIFÁSICO DE 100A</v>
      </c>
      <c r="E503" s="220"/>
      <c r="F503" s="220"/>
      <c r="G503" s="220"/>
      <c r="H503" s="220"/>
      <c r="I503" s="220"/>
      <c r="J503" s="220"/>
      <c r="K503" s="143" t="str">
        <f>'Planilha orç.'!E127</f>
        <v>UN</v>
      </c>
    </row>
    <row r="504" spans="1:11">
      <c r="A504" s="142"/>
      <c r="B504" s="81"/>
      <c r="C504" s="81"/>
      <c r="D504" s="83"/>
      <c r="E504" s="73"/>
      <c r="F504" s="73"/>
      <c r="G504" s="73"/>
      <c r="H504" s="73"/>
      <c r="I504" s="73"/>
      <c r="J504" s="73"/>
      <c r="K504" s="144">
        <v>1</v>
      </c>
    </row>
    <row r="505" spans="1:11" ht="12.75" customHeight="1">
      <c r="A505" s="148" t="str">
        <f>'Planilha orç.'!A128</f>
        <v>9.1.2</v>
      </c>
      <c r="B505" s="221" t="str">
        <f>'Planilha orç.'!D128</f>
        <v>ILUMINAÇÃO, TOMADAS E INTERRUPTORES</v>
      </c>
      <c r="C505" s="222">
        <f>'Planilha orç.'!C128</f>
        <v>0</v>
      </c>
      <c r="D505" s="222" t="str">
        <f>'Planilha orç.'!D128</f>
        <v>ILUMINAÇÃO, TOMADAS E INTERRUPTORES</v>
      </c>
      <c r="E505" s="222"/>
      <c r="F505" s="222"/>
      <c r="G505" s="222"/>
      <c r="H505" s="222"/>
      <c r="I505" s="222"/>
      <c r="J505" s="222"/>
      <c r="K505" s="223" t="str">
        <f>'Planilha orç.'!E128</f>
        <v>-</v>
      </c>
    </row>
    <row r="506" spans="1:11" ht="39.75" customHeight="1">
      <c r="A506" s="142" t="str">
        <f>'Planilha orç.'!A129</f>
        <v>9.1.2.1</v>
      </c>
      <c r="B506" s="81" t="str">
        <f>'Planilha orç.'!B129</f>
        <v>SICOR-MG</v>
      </c>
      <c r="C506" s="81" t="str">
        <f>'Planilha orç.'!C129</f>
        <v>ED-15748</v>
      </c>
      <c r="D506" s="219" t="str">
        <f>'Planilha orç.'!D129</f>
        <v>CONJUNTO DE UMA (1) TOMADA PADRÃO, TRÊS (3) POLOS, CORRENTE 10A, TENSÃO 250V, (2P+T/10A-250V), COM PLACA 4"X2" DE UM (1) POSTO, INCLUSIVE FORNECIMENTO , INSTALAÇÃO, SUPORTE, MÓDULO E PLACA</v>
      </c>
      <c r="E506" s="220"/>
      <c r="F506" s="220"/>
      <c r="G506" s="220"/>
      <c r="H506" s="220"/>
      <c r="I506" s="220"/>
      <c r="J506" s="220"/>
      <c r="K506" s="143" t="str">
        <f>'Planilha orç.'!E129</f>
        <v>UN</v>
      </c>
    </row>
    <row r="507" spans="1:11">
      <c r="A507" s="142"/>
      <c r="B507" s="81"/>
      <c r="C507" s="81"/>
      <c r="D507" s="83"/>
      <c r="E507" s="73"/>
      <c r="F507" s="73"/>
      <c r="G507" s="73"/>
      <c r="H507" s="73"/>
      <c r="I507" s="73"/>
      <c r="J507" s="73"/>
      <c r="K507" s="144">
        <v>8</v>
      </c>
    </row>
    <row r="508" spans="1:11" ht="41.25" customHeight="1">
      <c r="A508" s="142" t="str">
        <f>'Planilha orç.'!A130</f>
        <v>9.1.2.2</v>
      </c>
      <c r="B508" s="81" t="str">
        <f>'Planilha orç.'!B130</f>
        <v>SICOR-MG</v>
      </c>
      <c r="C508" s="81" t="str">
        <f>'Planilha orç.'!C130</f>
        <v>ED-15755</v>
      </c>
      <c r="D508" s="219" t="str">
        <f>'Planilha orç.'!D130</f>
        <v>CONJUNTO DE DUAS (2) TOMADAS PADRÃO, TRÊS (3) POLOS, CORRENTE 10A, TENSÃO 250V, (2P+T/10A-250V), COM PLACA 4"X2" DE DOIS (2) POSTOS, INCLUSIVE FORNECIMENTO, INSTALAÇÃO,SUPORTE, MÓDULO E PLACA</v>
      </c>
      <c r="E508" s="220"/>
      <c r="F508" s="220"/>
      <c r="G508" s="220"/>
      <c r="H508" s="220"/>
      <c r="I508" s="220"/>
      <c r="J508" s="220"/>
      <c r="K508" s="143" t="str">
        <f>'Planilha orç.'!E130</f>
        <v>UN</v>
      </c>
    </row>
    <row r="509" spans="1:11">
      <c r="A509" s="142"/>
      <c r="B509" s="81"/>
      <c r="C509" s="81"/>
      <c r="D509" s="83"/>
      <c r="E509" s="73"/>
      <c r="F509" s="73"/>
      <c r="G509" s="73"/>
      <c r="H509" s="73"/>
      <c r="I509" s="73"/>
      <c r="J509" s="73"/>
      <c r="K509" s="144">
        <v>5</v>
      </c>
    </row>
    <row r="510" spans="1:11" ht="37.5" customHeight="1">
      <c r="A510" s="142" t="str">
        <f>'Planilha orç.'!A131</f>
        <v>9.1.2.3</v>
      </c>
      <c r="B510" s="81" t="str">
        <f>'Planilha orç.'!B131</f>
        <v>Composição</v>
      </c>
      <c r="C510" s="81" t="str">
        <f>'Planilha orç.'!C131</f>
        <v>CPU-006</v>
      </c>
      <c r="D510" s="219" t="str">
        <f>'Planilha orç.'!D131</f>
        <v>CONJUNTO DE DUAS (2) TOMADAS PADRÃO, TRÊS (3) POLOS, CORRENTE 10A E 20A, TENSÃO 250V, (2P+T/10A-250V) E  (2P+T/20A-250V), COM PLACA 4"X2" DE DOIS (2) POSTOS, INCLUSIVE FORNECIMENTO, INSTALAÇÃO,SUPORTE, MÓDULO E PLACA</v>
      </c>
      <c r="E510" s="220"/>
      <c r="F510" s="220"/>
      <c r="G510" s="220"/>
      <c r="H510" s="220"/>
      <c r="I510" s="220"/>
      <c r="J510" s="220"/>
      <c r="K510" s="143" t="str">
        <f>'Planilha orç.'!E131</f>
        <v>UN</v>
      </c>
    </row>
    <row r="511" spans="1:11">
      <c r="A511" s="142"/>
      <c r="B511" s="81"/>
      <c r="C511" s="81"/>
      <c r="D511" s="83"/>
      <c r="E511" s="73"/>
      <c r="F511" s="73"/>
      <c r="G511" s="73"/>
      <c r="H511" s="73"/>
      <c r="I511" s="73"/>
      <c r="J511" s="73"/>
      <c r="K511" s="144">
        <v>1</v>
      </c>
    </row>
    <row r="512" spans="1:11" ht="42" customHeight="1">
      <c r="A512" s="142" t="str">
        <f>'Planilha orç.'!A132</f>
        <v>9.1.2.4</v>
      </c>
      <c r="B512" s="81" t="str">
        <f>'Planilha orç.'!B132</f>
        <v>SICOR-MG</v>
      </c>
      <c r="C512" s="81" t="str">
        <f>'Planilha orç.'!C132</f>
        <v>ED-15765</v>
      </c>
      <c r="D512" s="219" t="str">
        <f>'Planilha orç.'!D132</f>
        <v>CONJUNTO DE UM (1) INTERRUPTOR SIMPLES, CORRENTE 10A, TENSÃO 250V, (10A-250V) E UMA (1) TOMADA PADRÃO, TRÊS (3) POLOS, CORRENTE 10A, TENSÃO 250V, (2P+T/10A-250V), COM PLACA 4"X2" DE DOIS (2) POSTOS, INCLUSIVE FORNECIMENTO, INSTALAÇÃO, SUPORTE, MÓDULO E PLACA</v>
      </c>
      <c r="E512" s="220"/>
      <c r="F512" s="220"/>
      <c r="G512" s="220"/>
      <c r="H512" s="220"/>
      <c r="I512" s="220"/>
      <c r="J512" s="220"/>
      <c r="K512" s="143" t="str">
        <f>'Planilha orç.'!E132</f>
        <v>UN</v>
      </c>
    </row>
    <row r="513" spans="1:11">
      <c r="A513" s="142"/>
      <c r="B513" s="81"/>
      <c r="C513" s="81"/>
      <c r="D513" s="83"/>
      <c r="E513" s="73"/>
      <c r="F513" s="73"/>
      <c r="G513" s="73"/>
      <c r="H513" s="73"/>
      <c r="I513" s="73"/>
      <c r="J513" s="73"/>
      <c r="K513" s="144">
        <v>6</v>
      </c>
    </row>
    <row r="514" spans="1:11" ht="42.75" customHeight="1">
      <c r="A514" s="142" t="str">
        <f>'Planilha orç.'!A133</f>
        <v>9.1.2.5</v>
      </c>
      <c r="B514" s="81" t="str">
        <f>'Planilha orç.'!B133</f>
        <v>SICOR-MG</v>
      </c>
      <c r="C514" s="81" t="str">
        <f>'Planilha orç.'!C133</f>
        <v>ED-15771</v>
      </c>
      <c r="D514" s="219" t="str">
        <f>'Planilha orç.'!D133</f>
        <v>CONJUNTO DE DOIS (2) INTERRUPTORES SIMPLES, CORRENTE 10A, TENSÃO 250V, (10A-250V) E UMA (1) TOMADA PADRÃO, TRÊS (3) POLOS, CORRENTE 10A, TENSÃO 250V, (2P+T/10A-250V), COM PLACA 4"X2" DE TRÊS (3) POSTOS, INCLUSIVE FORNECIMENTO, INSTALAÇÃO, SUPORTE, MÓDULO E PLACA</v>
      </c>
      <c r="E514" s="220"/>
      <c r="F514" s="220"/>
      <c r="G514" s="220"/>
      <c r="H514" s="220"/>
      <c r="I514" s="220"/>
      <c r="J514" s="220"/>
      <c r="K514" s="143" t="str">
        <f>'Planilha orç.'!E133</f>
        <v>UN</v>
      </c>
    </row>
    <row r="515" spans="1:11">
      <c r="A515" s="142"/>
      <c r="B515" s="81"/>
      <c r="C515" s="81"/>
      <c r="D515" s="83"/>
      <c r="E515" s="73"/>
      <c r="F515" s="73"/>
      <c r="G515" s="73"/>
      <c r="H515" s="73"/>
      <c r="I515" s="73"/>
      <c r="J515" s="73"/>
      <c r="K515" s="144">
        <v>2</v>
      </c>
    </row>
    <row r="516" spans="1:11" ht="27" customHeight="1">
      <c r="A516" s="142" t="str">
        <f>'Planilha orç.'!A134</f>
        <v>9.1.2.6</v>
      </c>
      <c r="B516" s="81" t="str">
        <f>'Planilha orç.'!B134</f>
        <v>SICOR-MG</v>
      </c>
      <c r="C516" s="81" t="str">
        <f>'Planilha orç.'!C134</f>
        <v>ED-15736</v>
      </c>
      <c r="D516" s="219" t="str">
        <f>'Planilha orç.'!D134</f>
        <v>CONJUNTO DE UM (1) INTERRUPTOR PARALELO, CORRENTE 10A, TENSÃO 250V, (10A-250V), COM PLACA 4"X2" DE UM (1) POSTO, INCLUSIVE FORNECIMENTO, INSTALAÇÃO, SUPORTE, MÓDULO E PLACA</v>
      </c>
      <c r="E516" s="220"/>
      <c r="F516" s="220"/>
      <c r="G516" s="220"/>
      <c r="H516" s="220"/>
      <c r="I516" s="220"/>
      <c r="J516" s="220"/>
      <c r="K516" s="143" t="str">
        <f>'Planilha orç.'!E134</f>
        <v>UN</v>
      </c>
    </row>
    <row r="517" spans="1:11">
      <c r="A517" s="142"/>
      <c r="B517" s="81"/>
      <c r="C517" s="81"/>
      <c r="D517" s="83"/>
      <c r="E517" s="73"/>
      <c r="F517" s="73"/>
      <c r="G517" s="73"/>
      <c r="H517" s="73"/>
      <c r="I517" s="73"/>
      <c r="J517" s="73"/>
      <c r="K517" s="144">
        <v>1</v>
      </c>
    </row>
    <row r="518" spans="1:11" ht="41.25" customHeight="1">
      <c r="A518" s="142" t="str">
        <f>'Planilha orç.'!A135</f>
        <v>9.1.2.7</v>
      </c>
      <c r="B518" s="81" t="str">
        <f>'Planilha orç.'!B135</f>
        <v>SICOR-MG</v>
      </c>
      <c r="C518" s="81" t="str">
        <f>'Planilha orç.'!C135</f>
        <v>ED-15766</v>
      </c>
      <c r="D518" s="219" t="str">
        <f>'Planilha orç.'!D135</f>
        <v>CONJUNTO DE UM (1) INTERRUPTOR PARALELO, CORRENTE 10A, TENSÃO 250V, (10A-250V) E UMA (1) TOMADA PADRÃO, TRÊS (3) POLOS, CORRENTE 10A, TENSÃO 250V, (2P+T/10A-250V), COM PLACA 4"X2" DE DOIS (2) POSTOS, INCLUSIVE FORNECIMENTO,INSTALAÇÃO, SUPORTE, MÓDULO E PLACA</v>
      </c>
      <c r="E518" s="220"/>
      <c r="F518" s="220"/>
      <c r="G518" s="220"/>
      <c r="H518" s="220"/>
      <c r="I518" s="220"/>
      <c r="J518" s="220"/>
      <c r="K518" s="143" t="str">
        <f>'Planilha orç.'!E135</f>
        <v>UN</v>
      </c>
    </row>
    <row r="519" spans="1:11">
      <c r="A519" s="142"/>
      <c r="B519" s="81"/>
      <c r="C519" s="81"/>
      <c r="D519" s="83"/>
      <c r="E519" s="73"/>
      <c r="F519" s="73"/>
      <c r="G519" s="73"/>
      <c r="H519" s="73"/>
      <c r="I519" s="73"/>
      <c r="J519" s="73"/>
      <c r="K519" s="144">
        <v>1</v>
      </c>
    </row>
    <row r="520" spans="1:11" ht="27.75" customHeight="1">
      <c r="A520" s="142" t="str">
        <f>'Planilha orç.'!A136</f>
        <v>9.1.2.8</v>
      </c>
      <c r="B520" s="81" t="str">
        <f>'Planilha orç.'!B136</f>
        <v>SICOR-MG</v>
      </c>
      <c r="C520" s="81" t="str">
        <f>'Planilha orç.'!C136</f>
        <v xml:space="preserve">ED-15763 </v>
      </c>
      <c r="D520" s="219" t="str">
        <f>'Planilha orç.'!D136</f>
        <v>CONJUNTO DE UM (1) MÓDULO COM FURO PARA SAÍDA DE FIO Ø10MM, COM PLACA 4"X2" DE UM (1) POSTO, INCLUSIVE FORNECIMENTO, INSTALAÇÃO, SUPORTE, MÓDULO E PLACA</v>
      </c>
      <c r="E520" s="220"/>
      <c r="F520" s="220"/>
      <c r="G520" s="220"/>
      <c r="H520" s="220"/>
      <c r="I520" s="220"/>
      <c r="J520" s="220"/>
      <c r="K520" s="143" t="str">
        <f>'Planilha orç.'!E136</f>
        <v>UN</v>
      </c>
    </row>
    <row r="521" spans="1:11">
      <c r="A521" s="142"/>
      <c r="B521" s="81"/>
      <c r="C521" s="81"/>
      <c r="D521" s="83"/>
      <c r="E521" s="73"/>
      <c r="F521" s="73"/>
      <c r="G521" s="73"/>
      <c r="H521" s="73"/>
      <c r="I521" s="73"/>
      <c r="J521" s="73"/>
      <c r="K521" s="144">
        <v>3</v>
      </c>
    </row>
    <row r="522" spans="1:11" ht="26.25" customHeight="1">
      <c r="A522" s="142" t="str">
        <f>'Planilha orç.'!A137</f>
        <v>9.1.2.9</v>
      </c>
      <c r="B522" s="81" t="str">
        <f>'Planilha orç.'!B137</f>
        <v>SICOR-MG</v>
      </c>
      <c r="C522" s="81" t="str">
        <f>'Planilha orç.'!C137</f>
        <v>ED-50314</v>
      </c>
      <c r="D522" s="219" t="str">
        <f>'Planilha orç.'!D137</f>
        <v>CHUVEIRO ELÉTRICO COM RESISTÊNCIA BLINDADA, TENSÃO 127V/220V, POTÊNCIA 5500W/6800W, INCLUSIVE BRAÇO/CANO</v>
      </c>
      <c r="E522" s="220"/>
      <c r="F522" s="220"/>
      <c r="G522" s="220"/>
      <c r="H522" s="220"/>
      <c r="I522" s="220"/>
      <c r="J522" s="220"/>
      <c r="K522" s="143" t="str">
        <f>'Planilha orç.'!E137</f>
        <v>UN</v>
      </c>
    </row>
    <row r="523" spans="1:11">
      <c r="A523" s="142"/>
      <c r="B523" s="81"/>
      <c r="C523" s="81"/>
      <c r="D523" s="83"/>
      <c r="E523" s="73"/>
      <c r="F523" s="73"/>
      <c r="G523" s="73"/>
      <c r="H523" s="73"/>
      <c r="I523" s="73"/>
      <c r="J523" s="73"/>
      <c r="K523" s="144">
        <v>1</v>
      </c>
    </row>
    <row r="524" spans="1:11" ht="27.75" customHeight="1">
      <c r="A524" s="142" t="str">
        <f>'Planilha orç.'!A138</f>
        <v>9.1.2.10</v>
      </c>
      <c r="B524" s="81" t="str">
        <f>'Planilha orç.'!B138</f>
        <v>SICOR-MG</v>
      </c>
      <c r="C524" s="81" t="str">
        <f>'Planilha orç.'!C138</f>
        <v>ED-49189</v>
      </c>
      <c r="D524" s="219" t="str">
        <f>'Planilha orç.'!D138</f>
        <v>CAIXA DE LIGAÇÃO/PASSAGEM EM PVC RÍGIDO PARA ELETRODUTO, OCTOGONAL COM FUNDO MÓVEL, DIMENSÃO 4"X4" , EMBUTIDA EM LAJE, INCLUSIVE FIXAÇÃO</v>
      </c>
      <c r="E524" s="220"/>
      <c r="F524" s="220"/>
      <c r="G524" s="220"/>
      <c r="H524" s="220"/>
      <c r="I524" s="220"/>
      <c r="J524" s="220"/>
      <c r="K524" s="143" t="str">
        <f>'Planilha orç.'!E138</f>
        <v>UN</v>
      </c>
    </row>
    <row r="525" spans="1:11">
      <c r="A525" s="142"/>
      <c r="B525" s="81"/>
      <c r="C525" s="81"/>
      <c r="D525" s="83"/>
      <c r="E525" s="73"/>
      <c r="F525" s="73"/>
      <c r="G525" s="73"/>
      <c r="H525" s="73"/>
      <c r="I525" s="73"/>
      <c r="J525" s="73"/>
      <c r="K525" s="144">
        <v>8</v>
      </c>
    </row>
    <row r="526" spans="1:11" ht="27.75" customHeight="1">
      <c r="A526" s="142" t="str">
        <f>'Planilha orç.'!A139</f>
        <v>9.1.2.11</v>
      </c>
      <c r="B526" s="81" t="str">
        <f>'Planilha orç.'!B139</f>
        <v>SICOR-MG</v>
      </c>
      <c r="C526" s="81" t="str">
        <f>'Planilha orç.'!C139</f>
        <v>ED-13344</v>
      </c>
      <c r="D526" s="219" t="str">
        <f>'Planilha orç.'!D139</f>
        <v>LÂMPADA LED, BASE E27, POTÊNCIA DE 20W, BULBO A70, TEMPERATURA DA COR 6500K, TENSÃO 110-127V, EXCLUSIVELUMINÁRIA</v>
      </c>
      <c r="E526" s="220"/>
      <c r="F526" s="220"/>
      <c r="G526" s="220"/>
      <c r="H526" s="220"/>
      <c r="I526" s="220"/>
      <c r="J526" s="220"/>
      <c r="K526" s="143" t="str">
        <f>'Planilha orç.'!E139</f>
        <v>UN</v>
      </c>
    </row>
    <row r="527" spans="1:11">
      <c r="A527" s="142"/>
      <c r="B527" s="81"/>
      <c r="C527" s="81"/>
      <c r="D527" s="83"/>
      <c r="E527" s="73"/>
      <c r="F527" s="73"/>
      <c r="G527" s="73"/>
      <c r="H527" s="73"/>
      <c r="I527" s="73"/>
      <c r="J527" s="73"/>
      <c r="K527" s="144">
        <v>15</v>
      </c>
    </row>
    <row r="528" spans="1:11" ht="40.5" customHeight="1">
      <c r="A528" s="142" t="str">
        <f>'Planilha orç.'!A140</f>
        <v>9.1.2.12</v>
      </c>
      <c r="B528" s="81" t="str">
        <f>'Planilha orç.'!B140</f>
        <v>Composição</v>
      </c>
      <c r="C528" s="81" t="str">
        <f>'Planilha orç.'!C140</f>
        <v>CPU-008</v>
      </c>
      <c r="D528" s="219" t="str">
        <f>'Planilha orç.'!D140</f>
        <v>LUMINÁRIA DE TETO COM BASE (MODELO: PLAFONIER|BASE: PLÁSTICO-POLIPROPILENO|SOQUETE: INCLUSO|TIPO DE SOQUETE: E27|MATERIAL DO SOQUETE: PORCELANA|POTÊNCIA MÁXIMA LÂMPADA: 60W|LÂMPADA: NÃO INCLUSA), INCLUSIVE FORNECIMENTO E INSTALAÇÃO</v>
      </c>
      <c r="E528" s="220"/>
      <c r="F528" s="220"/>
      <c r="G528" s="220"/>
      <c r="H528" s="220"/>
      <c r="I528" s="220"/>
      <c r="J528" s="220"/>
      <c r="K528" s="143" t="str">
        <f>'Planilha orç.'!E140</f>
        <v>UN</v>
      </c>
    </row>
    <row r="529" spans="1:11">
      <c r="A529" s="142"/>
      <c r="B529" s="81"/>
      <c r="C529" s="81"/>
      <c r="D529" s="83"/>
      <c r="E529" s="73"/>
      <c r="F529" s="73"/>
      <c r="G529" s="73"/>
      <c r="H529" s="73"/>
      <c r="I529" s="73"/>
      <c r="J529" s="73"/>
      <c r="K529" s="144">
        <v>15</v>
      </c>
    </row>
    <row r="530" spans="1:11" ht="25.5" customHeight="1">
      <c r="A530" s="142" t="str">
        <f>'Planilha orç.'!A141</f>
        <v>9.1.2.13</v>
      </c>
      <c r="B530" s="81" t="str">
        <f>'Planilha orç.'!B141</f>
        <v>SICOR-MG</v>
      </c>
      <c r="C530" s="81" t="str">
        <f>'Planilha orç.'!C141</f>
        <v>ED-49187</v>
      </c>
      <c r="D530" s="219" t="str">
        <f>'Planilha orç.'!D141</f>
        <v>CAIXA DE LIGAÇÃO/PASSAGEM EM PVC RÍGIDO PARA ELETRODUTO, DIMENSÃO 4"X2", EMBUTIDA EM ALVENARIA, INCLUSIVE FIXAÇÃO</v>
      </c>
      <c r="E530" s="220"/>
      <c r="F530" s="220"/>
      <c r="G530" s="220"/>
      <c r="H530" s="220"/>
      <c r="I530" s="220"/>
      <c r="J530" s="220"/>
      <c r="K530" s="143" t="str">
        <f>'Planilha orç.'!E141</f>
        <v>UN</v>
      </c>
    </row>
    <row r="531" spans="1:11">
      <c r="A531" s="142"/>
      <c r="B531" s="81"/>
      <c r="C531" s="81"/>
      <c r="D531" s="83"/>
      <c r="E531" s="73"/>
      <c r="F531" s="73"/>
      <c r="G531" s="73"/>
      <c r="H531" s="73"/>
      <c r="I531" s="73"/>
      <c r="J531" s="73"/>
      <c r="K531" s="144">
        <v>27</v>
      </c>
    </row>
    <row r="532" spans="1:11">
      <c r="A532" s="148" t="str">
        <f>'Planilha orç.'!A142</f>
        <v>9.1.3</v>
      </c>
      <c r="B532" s="221" t="str">
        <f>'Planilha orç.'!D142</f>
        <v>CABEAMENTO, ELETRODUTOS E ENTRADA DE ENERGIA</v>
      </c>
      <c r="C532" s="222">
        <f>'Planilha orç.'!C142</f>
        <v>0</v>
      </c>
      <c r="D532" s="222" t="str">
        <f>'Planilha orç.'!D142</f>
        <v>CABEAMENTO, ELETRODUTOS E ENTRADA DE ENERGIA</v>
      </c>
      <c r="E532" s="222"/>
      <c r="F532" s="222"/>
      <c r="G532" s="222"/>
      <c r="H532" s="222"/>
      <c r="I532" s="222"/>
      <c r="J532" s="222"/>
      <c r="K532" s="223" t="str">
        <f>'Planilha orç.'!E142</f>
        <v>-</v>
      </c>
    </row>
    <row r="533" spans="1:11" ht="43.5" customHeight="1">
      <c r="A533" s="142" t="str">
        <f>'Planilha orç.'!A143</f>
        <v>9.1.3.1</v>
      </c>
      <c r="B533" s="81" t="str">
        <f>'Planilha orç.'!B143</f>
        <v>SICOR-MG</v>
      </c>
      <c r="C533" s="81" t="str">
        <f>'Planilha orç.'!C143</f>
        <v>ED-48946</v>
      </c>
      <c r="D533" s="219" t="str">
        <f>'Planilha orç.'!D143</f>
        <v>CABO ISOLADO DE COBRE FLEXÍVEL, CLASSE 5, ISOLAMENTO TIPO LSHF/ATOX, NÃO HALOGENADO E ANTICHAMA, DIÂMETRO DA SEÇÃO DE 1,5MM2, TEMPERATURA DE TRABALHO 70°C, TENSÃO NOMINAL DE OPERAÇÃO 450/750V</v>
      </c>
      <c r="E533" s="220"/>
      <c r="F533" s="220"/>
      <c r="G533" s="220"/>
      <c r="H533" s="220"/>
      <c r="I533" s="220"/>
      <c r="J533" s="220"/>
      <c r="K533" s="143" t="str">
        <f>'Planilha orç.'!E143</f>
        <v>M</v>
      </c>
    </row>
    <row r="534" spans="1:11">
      <c r="A534" s="142"/>
      <c r="B534" s="81"/>
      <c r="C534" s="81"/>
      <c r="D534" s="83"/>
      <c r="E534" s="73"/>
      <c r="F534" s="73"/>
      <c r="G534" s="73"/>
      <c r="H534" s="73"/>
      <c r="I534" s="73"/>
      <c r="J534" s="73"/>
      <c r="K534" s="144">
        <v>240</v>
      </c>
    </row>
    <row r="535" spans="1:11" ht="42.75" customHeight="1">
      <c r="A535" s="142" t="str">
        <f>'Planilha orç.'!A144</f>
        <v>9.1.3.2</v>
      </c>
      <c r="B535" s="81" t="str">
        <f>'Planilha orç.'!B144</f>
        <v>SICOR-MG</v>
      </c>
      <c r="C535" s="81" t="str">
        <f>'Planilha orç.'!C144</f>
        <v>ED-48951</v>
      </c>
      <c r="D535" s="219" t="str">
        <f>'Planilha orç.'!D144</f>
        <v>CABO ISOLADO DE COBRE FLEXÍVEL, CLASSE 5, ISOLAMENTO TIPO LSHF/ATOX, NÃO HALOGENADO E ANTICHAMA, DIÂMETRO DA SEÇÃO DE 2,5MM2, TEMPERATURA DE TRABALHO 70°C, TENSÃO NOMINAL DE OPERAÇÃO 450/750V</v>
      </c>
      <c r="E535" s="220"/>
      <c r="F535" s="220"/>
      <c r="G535" s="220"/>
      <c r="H535" s="220"/>
      <c r="I535" s="220"/>
      <c r="J535" s="220"/>
      <c r="K535" s="143" t="str">
        <f>'Planilha orç.'!E144</f>
        <v>M</v>
      </c>
    </row>
    <row r="536" spans="1:11">
      <c r="A536" s="142"/>
      <c r="B536" s="81"/>
      <c r="C536" s="81"/>
      <c r="D536" s="83"/>
      <c r="E536" s="73"/>
      <c r="F536" s="73"/>
      <c r="G536" s="73"/>
      <c r="H536" s="73"/>
      <c r="I536" s="73"/>
      <c r="J536" s="73"/>
      <c r="K536" s="144">
        <v>318</v>
      </c>
    </row>
    <row r="537" spans="1:11" ht="40.5" customHeight="1">
      <c r="A537" s="142" t="str">
        <f>'Planilha orç.'!A145</f>
        <v>9.1.3.3</v>
      </c>
      <c r="B537" s="81" t="str">
        <f>'Planilha orç.'!B145</f>
        <v>SICOR-MG</v>
      </c>
      <c r="C537" s="81" t="str">
        <f>'Planilha orç.'!C145</f>
        <v>ED-48961</v>
      </c>
      <c r="D537" s="219" t="str">
        <f>'Planilha orç.'!D145</f>
        <v>CABO ISOLADO DE COBRE FLEXÍVEL, CLASSE 5, ISOLAMENTO TIPO LSHF/ATOX, NÃO HALOGENADO E ANTICHAMA, DIÂMETRO DA SEÇÃO DE 6MM2, TEMPERATURA DE TRABALHO 70°C, TENSÃO NOMINAL DE OPERAÇÃO 450/750V</v>
      </c>
      <c r="E537" s="220"/>
      <c r="F537" s="220"/>
      <c r="G537" s="220"/>
      <c r="H537" s="220"/>
      <c r="I537" s="220"/>
      <c r="J537" s="220"/>
      <c r="K537" s="143" t="str">
        <f>'Planilha orç.'!E145</f>
        <v>M</v>
      </c>
    </row>
    <row r="538" spans="1:11">
      <c r="A538" s="142"/>
      <c r="B538" s="81"/>
      <c r="C538" s="81"/>
      <c r="D538" s="83"/>
      <c r="E538" s="73"/>
      <c r="F538" s="73"/>
      <c r="G538" s="73"/>
      <c r="H538" s="73"/>
      <c r="I538" s="73"/>
      <c r="J538" s="73"/>
      <c r="K538" s="144">
        <v>19</v>
      </c>
    </row>
    <row r="539" spans="1:11" ht="41.25" customHeight="1">
      <c r="A539" s="142" t="str">
        <f>'Planilha orç.'!A146</f>
        <v>9.1.3.4</v>
      </c>
      <c r="B539" s="81" t="str">
        <f>'Planilha orç.'!B146</f>
        <v>SICOR-MG</v>
      </c>
      <c r="C539" s="81" t="str">
        <f>'Planilha orç.'!C146</f>
        <v>ED-49001</v>
      </c>
      <c r="D539" s="219" t="str">
        <f>'Planilha orç.'!D146</f>
        <v>CABO UNIPOLAR DE COBRE FLEXÍVEL, CLASSE 5, ISOLAMENTO TIPO EPR/HEPR, NÃO HALOGENADO E ANTICHAMA, DIÂMETRO DA SEÇÃO DE 16MM2, TEMPERATURA DE TRABALHO 90°C, TENSÃO NOMINAL DE OPERAÇÃO 0,6/1KV</v>
      </c>
      <c r="E539" s="220"/>
      <c r="F539" s="220"/>
      <c r="G539" s="220"/>
      <c r="H539" s="220"/>
      <c r="I539" s="220"/>
      <c r="J539" s="220"/>
      <c r="K539" s="143" t="str">
        <f>'Planilha orç.'!E146</f>
        <v>M</v>
      </c>
    </row>
    <row r="540" spans="1:11">
      <c r="A540" s="142"/>
      <c r="B540" s="81"/>
      <c r="C540" s="81"/>
      <c r="D540" s="83"/>
      <c r="E540" s="73"/>
      <c r="F540" s="73"/>
      <c r="G540" s="73"/>
      <c r="H540" s="73"/>
      <c r="I540" s="73"/>
      <c r="J540" s="73"/>
      <c r="K540" s="144">
        <v>72</v>
      </c>
    </row>
    <row r="541" spans="1:11" ht="26.25" customHeight="1">
      <c r="A541" s="142" t="str">
        <f>'Planilha orç.'!A147</f>
        <v>9.1.3.5</v>
      </c>
      <c r="B541" s="81" t="str">
        <f>'Planilha orç.'!B147</f>
        <v>SICOR-MG</v>
      </c>
      <c r="C541" s="81" t="str">
        <f>'Planilha orç.'!C147</f>
        <v>ED-49414</v>
      </c>
      <c r="D541" s="219" t="str">
        <f>'Planilha orç.'!D147</f>
        <v>ELETRODUTO FLEXÍVEL CORRUGADO, PVC, ANTI-CHAMA, DN 25MM (3/4"), APLICADO EM ALVENARIA, INCLUSIVE RASGO</v>
      </c>
      <c r="E541" s="220"/>
      <c r="F541" s="220"/>
      <c r="G541" s="220"/>
      <c r="H541" s="220"/>
      <c r="I541" s="220"/>
      <c r="J541" s="220"/>
      <c r="K541" s="143" t="str">
        <f>'Planilha orç.'!E147</f>
        <v>M</v>
      </c>
    </row>
    <row r="542" spans="1:11">
      <c r="A542" s="142"/>
      <c r="B542" s="81"/>
      <c r="C542" s="81"/>
      <c r="D542" s="83"/>
      <c r="E542" s="73"/>
      <c r="F542" s="73"/>
      <c r="G542" s="73"/>
      <c r="H542" s="73"/>
      <c r="I542" s="73"/>
      <c r="J542" s="73"/>
      <c r="K542" s="144">
        <v>158</v>
      </c>
    </row>
    <row r="543" spans="1:11" ht="27.75" customHeight="1">
      <c r="A543" s="142" t="str">
        <f>'Planilha orç.'!A148</f>
        <v>9.1.3.6</v>
      </c>
      <c r="B543" s="81" t="str">
        <f>'Planilha orç.'!B148</f>
        <v>SICOR-MG</v>
      </c>
      <c r="C543" s="81" t="str">
        <f>'Planilha orç.'!C148</f>
        <v>ED-7250</v>
      </c>
      <c r="D543" s="219" t="str">
        <f>'Planilha orç.'!D148</f>
        <v>ELETRODUTO FLEXÍVEL, EM AÇO GALVANIZADO, DIÂMETRO DE 32MM (1.1/4"), REVESTIDO EXTERNAMENTE COM PVC, NA COR PRETA, INCLUSIVE ACESSÓRIOS PARA FIXAÇÃO E CONEXÕES</v>
      </c>
      <c r="E543" s="220"/>
      <c r="F543" s="220"/>
      <c r="G543" s="220"/>
      <c r="H543" s="220"/>
      <c r="I543" s="220"/>
      <c r="J543" s="220"/>
      <c r="K543" s="143" t="str">
        <f>'Planilha orç.'!E148</f>
        <v>M</v>
      </c>
    </row>
    <row r="544" spans="1:11">
      <c r="A544" s="142"/>
      <c r="B544" s="81"/>
      <c r="C544" s="81"/>
      <c r="D544" s="83"/>
      <c r="E544" s="73"/>
      <c r="F544" s="73"/>
      <c r="G544" s="73"/>
      <c r="H544" s="73"/>
      <c r="I544" s="73"/>
      <c r="J544" s="73"/>
      <c r="K544" s="144">
        <v>13</v>
      </c>
    </row>
    <row r="545" spans="1:11">
      <c r="A545" s="142" t="str">
        <f>'Planilha orç.'!A149</f>
        <v>9.1.3.7</v>
      </c>
      <c r="B545" s="81" t="str">
        <f>'Planilha orç.'!B149</f>
        <v>SICOR-MG</v>
      </c>
      <c r="C545" s="81" t="str">
        <f>'Planilha orç.'!C149</f>
        <v>ED-49132</v>
      </c>
      <c r="D545" s="219" t="str">
        <f>'Planilha orç.'!D149</f>
        <v>CABO DE COBRE NU # 10 MM2, ENTERRADO, EXCLUSIVE ESCAVAÇÃO E REATERRO</v>
      </c>
      <c r="E545" s="220"/>
      <c r="F545" s="220"/>
      <c r="G545" s="220"/>
      <c r="H545" s="220"/>
      <c r="I545" s="220"/>
      <c r="J545" s="220"/>
      <c r="K545" s="143" t="str">
        <f>'Planilha orç.'!E149</f>
        <v>M</v>
      </c>
    </row>
    <row r="546" spans="1:11">
      <c r="A546" s="142"/>
      <c r="B546" s="81"/>
      <c r="C546" s="81"/>
      <c r="D546" s="83"/>
      <c r="E546" s="73"/>
      <c r="F546" s="73"/>
      <c r="G546" s="73"/>
      <c r="H546" s="73"/>
      <c r="I546" s="73"/>
      <c r="J546" s="73"/>
      <c r="K546" s="144">
        <v>4</v>
      </c>
    </row>
    <row r="547" spans="1:11">
      <c r="A547" s="142" t="str">
        <f>'Planilha orç.'!A150</f>
        <v>9.1.3.8</v>
      </c>
      <c r="B547" s="81" t="str">
        <f>'Planilha orç.'!B150</f>
        <v>SINAPI</v>
      </c>
      <c r="C547" s="81" t="str">
        <f>'Planilha orç.'!C150</f>
        <v>93358</v>
      </c>
      <c r="D547" s="219" t="str">
        <f>'Planilha orç.'!D150</f>
        <v>ESCAVAÇÃO MANUAL DE VALA. AF_09/2024</v>
      </c>
      <c r="E547" s="220"/>
      <c r="F547" s="220"/>
      <c r="G547" s="220"/>
      <c r="H547" s="220"/>
      <c r="I547" s="220"/>
      <c r="J547" s="220"/>
      <c r="K547" s="143" t="str">
        <f>'Planilha orç.'!E150</f>
        <v>M3</v>
      </c>
    </row>
    <row r="548" spans="1:11">
      <c r="A548" s="142"/>
      <c r="B548" s="81"/>
      <c r="C548" s="81"/>
      <c r="D548" s="83"/>
      <c r="E548" s="73"/>
      <c r="F548" s="73"/>
      <c r="G548" s="73"/>
      <c r="H548" s="73"/>
      <c r="I548" s="73"/>
      <c r="J548" s="73"/>
      <c r="K548" s="144">
        <v>0.63</v>
      </c>
    </row>
    <row r="549" spans="1:11" ht="39.75" customHeight="1">
      <c r="A549" s="142" t="str">
        <f>'Planilha orç.'!A151</f>
        <v>9.1.3.9</v>
      </c>
      <c r="B549" s="81" t="str">
        <f>'Planilha orç.'!B151</f>
        <v>SICOR-MG</v>
      </c>
      <c r="C549" s="81" t="str">
        <f>'Planilha orç.'!C151</f>
        <v>ED-48700</v>
      </c>
      <c r="D549" s="219" t="str">
        <f>'Planilha orç.'!D151</f>
        <v>ATERRAMENTO COM HASTE DE COBRE, TIPO COPPERWELD, DIÂMETRO DE 5/8", COMPRIMENTO DE 240CM, EXCLUSIVE CABO E CAIXA PARA ATERRAMENTO, INCLUSIVE GRAMPO PARA HASTE E INSTALAÇÃO</v>
      </c>
      <c r="E549" s="220"/>
      <c r="F549" s="220"/>
      <c r="G549" s="220"/>
      <c r="H549" s="220"/>
      <c r="I549" s="220"/>
      <c r="J549" s="220"/>
      <c r="K549" s="143" t="str">
        <f>'Planilha orç.'!E151</f>
        <v>UN</v>
      </c>
    </row>
    <row r="550" spans="1:11">
      <c r="A550" s="142"/>
      <c r="B550" s="81"/>
      <c r="C550" s="81"/>
      <c r="D550" s="83"/>
      <c r="E550" s="73"/>
      <c r="F550" s="73"/>
      <c r="G550" s="73"/>
      <c r="H550" s="73"/>
      <c r="I550" s="73"/>
      <c r="J550" s="73"/>
      <c r="K550" s="144">
        <v>2</v>
      </c>
    </row>
    <row r="551" spans="1:11" ht="27.75" customHeight="1">
      <c r="A551" s="142" t="str">
        <f>'Planilha orç.'!A152</f>
        <v>9.1.3.10</v>
      </c>
      <c r="B551" s="81" t="str">
        <f>'Planilha orç.'!B152</f>
        <v>SICOR-MG</v>
      </c>
      <c r="C551" s="81" t="str">
        <f>'Planilha orç.'!C152</f>
        <v>ED-51055</v>
      </c>
      <c r="D551" s="219" t="str">
        <f>'Planilha orç.'!D152</f>
        <v>CAIXA DE INSPEÇÃO EM PVC, DIÂMETRO DE 30CM, ALTURA DE 30CM, COM TAMPA EM FERRO FUNDIDO, EXCLUSIVE HASTE DE ATERRAMENTO, INCLUSIVE INSTALAÇÃO</v>
      </c>
      <c r="E551" s="220"/>
      <c r="F551" s="220"/>
      <c r="G551" s="220"/>
      <c r="H551" s="220"/>
      <c r="I551" s="220"/>
      <c r="J551" s="220"/>
      <c r="K551" s="143" t="str">
        <f>'Planilha orç.'!E152</f>
        <v>UN</v>
      </c>
    </row>
    <row r="552" spans="1:11">
      <c r="A552" s="142"/>
      <c r="B552" s="81"/>
      <c r="C552" s="81"/>
      <c r="D552" s="83"/>
      <c r="E552" s="73"/>
      <c r="F552" s="73"/>
      <c r="G552" s="73"/>
      <c r="H552" s="73"/>
      <c r="I552" s="73"/>
      <c r="J552" s="73"/>
      <c r="K552" s="144">
        <v>2</v>
      </c>
    </row>
    <row r="553" spans="1:11" ht="25.5" customHeight="1">
      <c r="A553" s="142" t="str">
        <f>'Planilha orç.'!A153</f>
        <v>9.1.3.11</v>
      </c>
      <c r="B553" s="81" t="str">
        <f>'Planilha orç.'!B153</f>
        <v>SICOR-MG</v>
      </c>
      <c r="C553" s="81" t="str">
        <f>'Planilha orç.'!C153</f>
        <v>ED-49168</v>
      </c>
      <c r="D553" s="219" t="str">
        <f>'Planilha orç.'!D153</f>
        <v>CAIXA DE PASSAGEM EM ALVENARIA E TAMPA DE CONCRETO, FUNDO DE BRITA, TIPO 1, DIMENSÃO (30X30X40)CM, INCLUSIVE ESCAVAÇÃO, REATERRO E BOTA-FORA</v>
      </c>
      <c r="E553" s="220"/>
      <c r="F553" s="220"/>
      <c r="G553" s="220"/>
      <c r="H553" s="220"/>
      <c r="I553" s="220"/>
      <c r="J553" s="220"/>
      <c r="K553" s="143" t="str">
        <f>'Planilha orç.'!E153</f>
        <v>UN</v>
      </c>
    </row>
    <row r="554" spans="1:11">
      <c r="A554" s="142"/>
      <c r="B554" s="81"/>
      <c r="C554" s="81"/>
      <c r="D554" s="83"/>
      <c r="E554" s="73"/>
      <c r="F554" s="73"/>
      <c r="G554" s="73"/>
      <c r="H554" s="73"/>
      <c r="I554" s="73"/>
      <c r="J554" s="73"/>
      <c r="K554" s="144">
        <v>1</v>
      </c>
    </row>
    <row r="555" spans="1:11" ht="39.75" customHeight="1">
      <c r="A555" s="142" t="str">
        <f>'Planilha orç.'!A154</f>
        <v>9.1.3.12</v>
      </c>
      <c r="B555" s="81" t="str">
        <f>'Planilha orç.'!B154</f>
        <v>Composição</v>
      </c>
      <c r="C555" s="81" t="str">
        <f>'Planilha orç.'!C154</f>
        <v>CPU-007</v>
      </c>
      <c r="D555" s="219" t="str">
        <f>'Planilha orç.'!D154</f>
        <v>ENTRADA DE ENERGIA AÉREA, TIPO C1, PADRÃO CEMIG, CARGA INSTALADA DE 0KVA ATÉ 24KVA, TRIFÁSICO, COM SAÍDA SUBTERRÂNEA, INCLUSIVE POSTE, CAIXA PARA MEDIDOR, DISJUNTOR, BARRAMENTO, ATERRAMENTO E ACESSÓRIOS</v>
      </c>
      <c r="E555" s="220"/>
      <c r="F555" s="220"/>
      <c r="G555" s="220"/>
      <c r="H555" s="220"/>
      <c r="I555" s="220"/>
      <c r="J555" s="220"/>
      <c r="K555" s="143" t="str">
        <f>'Planilha orç.'!E154</f>
        <v>UN</v>
      </c>
    </row>
    <row r="556" spans="1:11">
      <c r="A556" s="142"/>
      <c r="B556" s="81"/>
      <c r="C556" s="81"/>
      <c r="D556" s="83"/>
      <c r="E556" s="73"/>
      <c r="F556" s="73"/>
      <c r="G556" s="73"/>
      <c r="H556" s="73"/>
      <c r="I556" s="73"/>
      <c r="J556" s="73"/>
      <c r="K556" s="144">
        <v>1</v>
      </c>
    </row>
    <row r="557" spans="1:11">
      <c r="A557" s="148" t="str">
        <f>'Planilha orç.'!A155</f>
        <v>9.2</v>
      </c>
      <c r="B557" s="221" t="str">
        <f>'Planilha orç.'!D155</f>
        <v>HIDRÁULICA</v>
      </c>
      <c r="C557" s="222">
        <f>'Planilha orç.'!C155</f>
        <v>0</v>
      </c>
      <c r="D557" s="222" t="str">
        <f>'Planilha orç.'!D155</f>
        <v>HIDRÁULICA</v>
      </c>
      <c r="E557" s="222"/>
      <c r="F557" s="222"/>
      <c r="G557" s="222"/>
      <c r="H557" s="222"/>
      <c r="I557" s="222"/>
      <c r="J557" s="222"/>
      <c r="K557" s="223" t="str">
        <f>'Planilha orç.'!E155</f>
        <v>-</v>
      </c>
    </row>
    <row r="558" spans="1:11">
      <c r="A558" s="148" t="str">
        <f>'Planilha orç.'!A156</f>
        <v>9.2.1</v>
      </c>
      <c r="B558" s="221" t="str">
        <f>'Planilha orç.'!D156</f>
        <v>TUBULAÇÕES E CONEXÕES</v>
      </c>
      <c r="C558" s="222">
        <f>'Planilha orç.'!C156</f>
        <v>0</v>
      </c>
      <c r="D558" s="222" t="str">
        <f>'Planilha orç.'!D156</f>
        <v>TUBULAÇÕES E CONEXÕES</v>
      </c>
      <c r="E558" s="222"/>
      <c r="F558" s="222"/>
      <c r="G558" s="222"/>
      <c r="H558" s="222"/>
      <c r="I558" s="222"/>
      <c r="J558" s="222"/>
      <c r="K558" s="223" t="str">
        <f>'Planilha orç.'!E156</f>
        <v>-</v>
      </c>
    </row>
    <row r="559" spans="1:11" ht="24.75" customHeight="1">
      <c r="A559" s="142" t="str">
        <f>'Planilha orç.'!A157</f>
        <v>9.2.1.1</v>
      </c>
      <c r="B559" s="81" t="str">
        <f>'Planilha orç.'!B157</f>
        <v>SINAPI</v>
      </c>
      <c r="C559" s="81" t="str">
        <f>'Planilha orç.'!C157</f>
        <v>89394</v>
      </c>
      <c r="D559" s="219" t="str">
        <f>'Planilha orç.'!D157</f>
        <v>TÊ COM BUCHA DE LATÃO NA BOLSA CENTRAL, PVC, SOLDÁVEL, DN 20MM X 1/2, INSTALADO EM RAMAL OU SUB-RAMAL DE ÁGUA - FORNECIMENTO E INSTALAÇÃO. AF_06/2022</v>
      </c>
      <c r="E559" s="220"/>
      <c r="F559" s="220"/>
      <c r="G559" s="220"/>
      <c r="H559" s="220"/>
      <c r="I559" s="220"/>
      <c r="J559" s="220"/>
      <c r="K559" s="143" t="str">
        <f>'Planilha orç.'!E157</f>
        <v>UN</v>
      </c>
    </row>
    <row r="560" spans="1:11">
      <c r="A560" s="142"/>
      <c r="B560" s="81"/>
      <c r="C560" s="81"/>
      <c r="D560" s="83"/>
      <c r="E560" s="73"/>
      <c r="F560" s="73"/>
      <c r="G560" s="73"/>
      <c r="H560" s="73"/>
      <c r="I560" s="73"/>
      <c r="J560" s="73"/>
      <c r="K560" s="144">
        <v>1</v>
      </c>
    </row>
    <row r="561" spans="1:11" ht="26.25" customHeight="1">
      <c r="A561" s="142" t="str">
        <f>'Planilha orç.'!A158</f>
        <v>9.2.1.2</v>
      </c>
      <c r="B561" s="81" t="str">
        <f>'Planilha orç.'!B158</f>
        <v>SINAPI</v>
      </c>
      <c r="C561" s="81" t="str">
        <f>'Planilha orç.'!C158</f>
        <v>89623</v>
      </c>
      <c r="D561" s="219" t="str">
        <f>'Planilha orç.'!D158</f>
        <v>TE, PVC, SOLDÁVEL, DN 40MM, INSTALADO EM PRUMADA DE ÁGUA - FORNECIMENTO E INSTALAÇÃO. AF_06/2022</v>
      </c>
      <c r="E561" s="220"/>
      <c r="F561" s="220"/>
      <c r="G561" s="220"/>
      <c r="H561" s="220"/>
      <c r="I561" s="220"/>
      <c r="J561" s="220"/>
      <c r="K561" s="143" t="str">
        <f>'Planilha orç.'!E158</f>
        <v>UN</v>
      </c>
    </row>
    <row r="562" spans="1:11">
      <c r="A562" s="142"/>
      <c r="B562" s="81"/>
      <c r="C562" s="81"/>
      <c r="D562" s="83"/>
      <c r="E562" s="73"/>
      <c r="F562" s="73"/>
      <c r="G562" s="73"/>
      <c r="H562" s="73"/>
      <c r="I562" s="73"/>
      <c r="J562" s="73"/>
      <c r="K562" s="144">
        <v>1</v>
      </c>
    </row>
    <row r="563" spans="1:11" ht="26.25" customHeight="1">
      <c r="A563" s="142" t="str">
        <f>'Planilha orç.'!A159</f>
        <v>9.2.1.3</v>
      </c>
      <c r="B563" s="81" t="str">
        <f>'Planilha orç.'!B159</f>
        <v>SINAPI</v>
      </c>
      <c r="C563" s="81" t="str">
        <f>'Planilha orç.'!C159</f>
        <v>89620</v>
      </c>
      <c r="D563" s="219" t="str">
        <f>'Planilha orç.'!D159</f>
        <v>TE, PVC, SOLDÁVEL, DN 32MM, INSTALADO EM PRUMADA DE ÁGUA - FORNECIMENTO E INSTALAÇÃO. AF_06/2022</v>
      </c>
      <c r="E563" s="220"/>
      <c r="F563" s="220"/>
      <c r="G563" s="220"/>
      <c r="H563" s="220"/>
      <c r="I563" s="220"/>
      <c r="J563" s="220"/>
      <c r="K563" s="143" t="str">
        <f>'Planilha orç.'!E159</f>
        <v>UN</v>
      </c>
    </row>
    <row r="564" spans="1:11">
      <c r="A564" s="142"/>
      <c r="B564" s="81"/>
      <c r="C564" s="81"/>
      <c r="D564" s="83"/>
      <c r="E564" s="73"/>
      <c r="F564" s="73"/>
      <c r="G564" s="73"/>
      <c r="H564" s="73"/>
      <c r="I564" s="73"/>
      <c r="J564" s="73"/>
      <c r="K564" s="144">
        <v>1</v>
      </c>
    </row>
    <row r="565" spans="1:11" ht="25.5" customHeight="1">
      <c r="A565" s="142" t="str">
        <f>'Planilha orç.'!A160</f>
        <v>9.2.1.4</v>
      </c>
      <c r="B565" s="81" t="str">
        <f>'Planilha orç.'!B160</f>
        <v>SINAPI</v>
      </c>
      <c r="C565" s="81" t="str">
        <f>'Planilha orç.'!C160</f>
        <v>89393</v>
      </c>
      <c r="D565" s="219" t="str">
        <f>'Planilha orç.'!D160</f>
        <v>TE, PVC, SOLDÁVEL, DN 20MM, INSTALADO EM RAMAL OU SUB-RAMAL DE ÁGUA - FORNECIMENTO E INSTALAÇÃO. AF_06/2022</v>
      </c>
      <c r="E565" s="220"/>
      <c r="F565" s="220"/>
      <c r="G565" s="220"/>
      <c r="H565" s="220"/>
      <c r="I565" s="220"/>
      <c r="J565" s="220"/>
      <c r="K565" s="143" t="str">
        <f>'Planilha orç.'!E160</f>
        <v>UN</v>
      </c>
    </row>
    <row r="566" spans="1:11">
      <c r="A566" s="142"/>
      <c r="B566" s="81"/>
      <c r="C566" s="81"/>
      <c r="D566" s="83"/>
      <c r="E566" s="73"/>
      <c r="F566" s="73"/>
      <c r="G566" s="73"/>
      <c r="H566" s="73"/>
      <c r="I566" s="73"/>
      <c r="J566" s="73"/>
      <c r="K566" s="144">
        <v>1</v>
      </c>
    </row>
    <row r="567" spans="1:11" ht="25.5" customHeight="1">
      <c r="A567" s="142" t="str">
        <f>'Planilha orç.'!A161</f>
        <v>9.2.1.5</v>
      </c>
      <c r="B567" s="81" t="str">
        <f>'Planilha orç.'!B161</f>
        <v>SINAPI</v>
      </c>
      <c r="C567" s="81" t="str">
        <f>'Planilha orç.'!C161</f>
        <v>89624</v>
      </c>
      <c r="D567" s="219" t="str">
        <f>'Planilha orç.'!D161</f>
        <v>TÊ DE REDUÇÃO, PVC, SOLDÁVEL, DN 40MM X 32MM, INSTALADO EM PRUMADA DE ÁGUA - FORNECIMENTO E INSTALAÇÃO. AF_06/2022</v>
      </c>
      <c r="E567" s="220"/>
      <c r="F567" s="220"/>
      <c r="G567" s="220"/>
      <c r="H567" s="220"/>
      <c r="I567" s="220"/>
      <c r="J567" s="220"/>
      <c r="K567" s="143" t="str">
        <f>'Planilha orç.'!E161</f>
        <v>UN</v>
      </c>
    </row>
    <row r="568" spans="1:11">
      <c r="A568" s="142"/>
      <c r="B568" s="81"/>
      <c r="C568" s="81"/>
      <c r="D568" s="83"/>
      <c r="E568" s="73"/>
      <c r="F568" s="73"/>
      <c r="G568" s="73"/>
      <c r="H568" s="73"/>
      <c r="I568" s="73"/>
      <c r="J568" s="73"/>
      <c r="K568" s="144">
        <v>1</v>
      </c>
    </row>
    <row r="569" spans="1:11" ht="27" customHeight="1">
      <c r="A569" s="142" t="str">
        <f>'Planilha orç.'!A162</f>
        <v>9.2.1.6</v>
      </c>
      <c r="B569" s="81" t="str">
        <f>'Planilha orç.'!B162</f>
        <v>SINAPI</v>
      </c>
      <c r="C569" s="81" t="str">
        <f>'Planilha orç.'!C162</f>
        <v>89622</v>
      </c>
      <c r="D569" s="219" t="str">
        <f>'Planilha orç.'!D162</f>
        <v>TÊ DE REDUÇÃO, PVC, SOLDÁVEL, DN 32MM X 25MM, INSTALADO EM PRUMADA DE ÁGUA - FORNECIMENTO E INSTALAÇÃO. AF_06/2022</v>
      </c>
      <c r="E569" s="220"/>
      <c r="F569" s="220"/>
      <c r="G569" s="220"/>
      <c r="H569" s="220"/>
      <c r="I569" s="220"/>
      <c r="J569" s="220"/>
      <c r="K569" s="143" t="str">
        <f>'Planilha orç.'!E162</f>
        <v>UN</v>
      </c>
    </row>
    <row r="570" spans="1:11">
      <c r="A570" s="142"/>
      <c r="B570" s="81"/>
      <c r="C570" s="81"/>
      <c r="D570" s="83"/>
      <c r="E570" s="73"/>
      <c r="F570" s="73"/>
      <c r="G570" s="73"/>
      <c r="H570" s="73"/>
      <c r="I570" s="73"/>
      <c r="J570" s="73"/>
      <c r="K570" s="144">
        <v>1</v>
      </c>
    </row>
    <row r="571" spans="1:11" ht="27" customHeight="1">
      <c r="A571" s="142" t="str">
        <f>'Planilha orç.'!A163</f>
        <v>9.2.1.7</v>
      </c>
      <c r="B571" s="81" t="str">
        <f>'Planilha orç.'!B163</f>
        <v>SINAPI</v>
      </c>
      <c r="C571" s="81" t="str">
        <f>'Planilha orç.'!C163</f>
        <v>89442</v>
      </c>
      <c r="D571" s="219" t="str">
        <f>'Planilha orç.'!D163</f>
        <v>TÊ DE REDUÇÃO, PVC, SOLDÁVEL, DN 25MM X 20MM, INSTALADO EM RAMAL DE DISTRIBUIÇÃO DE ÁGUA - FORNECIMENTO E INSTALAÇÃO. AF_06/2022</v>
      </c>
      <c r="E571" s="220"/>
      <c r="F571" s="220"/>
      <c r="G571" s="220"/>
      <c r="H571" s="220"/>
      <c r="I571" s="220"/>
      <c r="J571" s="220"/>
      <c r="K571" s="143" t="str">
        <f>'Planilha orç.'!E163</f>
        <v>UN</v>
      </c>
    </row>
    <row r="572" spans="1:11">
      <c r="A572" s="142"/>
      <c r="B572" s="81"/>
      <c r="C572" s="81"/>
      <c r="D572" s="83"/>
      <c r="E572" s="73"/>
      <c r="F572" s="73"/>
      <c r="G572" s="73"/>
      <c r="H572" s="73"/>
      <c r="I572" s="73"/>
      <c r="J572" s="73"/>
      <c r="K572" s="144">
        <v>2</v>
      </c>
    </row>
    <row r="573" spans="1:11" ht="26.25" customHeight="1">
      <c r="A573" s="142" t="str">
        <f>'Planilha orç.'!A164</f>
        <v>9.2.1.8</v>
      </c>
      <c r="B573" s="81" t="str">
        <f>'Planilha orç.'!B164</f>
        <v>SINAPI</v>
      </c>
      <c r="C573" s="81" t="str">
        <f>'Planilha orç.'!C164</f>
        <v>89400</v>
      </c>
      <c r="D573" s="219" t="str">
        <f>'Planilha orç.'!D164</f>
        <v>TÊ DE REDUÇÃO, PVC, SOLDÁVEL, DN 32MM X 25MM, INSTALADO EM RAMAL OU SUB-RAMAL DE ÁGUA - FORNECIMENTO E INSTALAÇÃO. AF_06/2022</v>
      </c>
      <c r="E573" s="220"/>
      <c r="F573" s="220"/>
      <c r="G573" s="220"/>
      <c r="H573" s="220"/>
      <c r="I573" s="220"/>
      <c r="J573" s="220"/>
      <c r="K573" s="143" t="str">
        <f>'Planilha orç.'!E164</f>
        <v>UN</v>
      </c>
    </row>
    <row r="574" spans="1:11">
      <c r="A574" s="142"/>
      <c r="B574" s="81"/>
      <c r="C574" s="81"/>
      <c r="D574" s="83"/>
      <c r="E574" s="73"/>
      <c r="F574" s="73"/>
      <c r="G574" s="73"/>
      <c r="H574" s="73"/>
      <c r="I574" s="73"/>
      <c r="J574" s="73"/>
      <c r="K574" s="144">
        <v>1</v>
      </c>
    </row>
    <row r="575" spans="1:11" ht="27.75" customHeight="1">
      <c r="A575" s="142" t="str">
        <f>'Planilha orç.'!A165</f>
        <v>9.2.1.9</v>
      </c>
      <c r="B575" s="81" t="str">
        <f>'Planilha orç.'!B165</f>
        <v>SINAPI</v>
      </c>
      <c r="C575" s="81" t="str">
        <f>'Planilha orç.'!C165</f>
        <v>89497</v>
      </c>
      <c r="D575" s="219" t="str">
        <f>'Planilha orç.'!D165</f>
        <v>JOELHO 90 GRAUS, PVC, SOLDÁVEL, DN 40MM, INSTALADO EM PRUMADA DE ÁGUA - FORNECIMENTO E INSTALAÇÃO. AF_06/2022</v>
      </c>
      <c r="E575" s="220"/>
      <c r="F575" s="220"/>
      <c r="G575" s="220"/>
      <c r="H575" s="220"/>
      <c r="I575" s="220"/>
      <c r="J575" s="220"/>
      <c r="K575" s="143" t="str">
        <f>'Planilha orç.'!E165</f>
        <v>UN</v>
      </c>
    </row>
    <row r="576" spans="1:11">
      <c r="A576" s="142"/>
      <c r="B576" s="81"/>
      <c r="C576" s="81"/>
      <c r="D576" s="83"/>
      <c r="E576" s="73"/>
      <c r="F576" s="73"/>
      <c r="G576" s="73"/>
      <c r="H576" s="73"/>
      <c r="I576" s="73"/>
      <c r="J576" s="73"/>
      <c r="K576" s="144">
        <v>3</v>
      </c>
    </row>
    <row r="577" spans="1:11" ht="26.25" customHeight="1">
      <c r="A577" s="142" t="str">
        <f>'Planilha orç.'!A166</f>
        <v>9.2.1.10</v>
      </c>
      <c r="B577" s="81" t="str">
        <f>'Planilha orç.'!B166</f>
        <v>SINAPI</v>
      </c>
      <c r="C577" s="81" t="str">
        <f>'Planilha orç.'!C166</f>
        <v>89413</v>
      </c>
      <c r="D577" s="219" t="str">
        <f>'Planilha orç.'!D166</f>
        <v>JOELHO 90 GRAUS, PVC, SOLDÁVEL, DN 32MM, INSTALADO EM RAMAL DE DISTRIBUIÇÃO DE ÁGUA - FORNECIMENTO E INSTALAÇÃO. AF_06/2022</v>
      </c>
      <c r="E577" s="220"/>
      <c r="F577" s="220"/>
      <c r="G577" s="220"/>
      <c r="H577" s="220"/>
      <c r="I577" s="220"/>
      <c r="J577" s="220"/>
      <c r="K577" s="143" t="str">
        <f>'Planilha orç.'!E166</f>
        <v>UN</v>
      </c>
    </row>
    <row r="578" spans="1:11">
      <c r="A578" s="142"/>
      <c r="B578" s="81"/>
      <c r="C578" s="81"/>
      <c r="D578" s="83"/>
      <c r="E578" s="73"/>
      <c r="F578" s="73"/>
      <c r="G578" s="73"/>
      <c r="H578" s="73"/>
      <c r="I578" s="73"/>
      <c r="J578" s="73"/>
      <c r="K578" s="144">
        <v>3</v>
      </c>
    </row>
    <row r="579" spans="1:11" ht="25.5" customHeight="1">
      <c r="A579" s="142" t="str">
        <f>'Planilha orç.'!A167</f>
        <v>9.2.1.11</v>
      </c>
      <c r="B579" s="81" t="str">
        <f>'Planilha orç.'!B167</f>
        <v>SINAPI</v>
      </c>
      <c r="C579" s="81" t="str">
        <f>'Planilha orç.'!C167</f>
        <v>89408</v>
      </c>
      <c r="D579" s="219" t="str">
        <f>'Planilha orç.'!D167</f>
        <v>JOELHO 90 GRAUS, PVC, SOLDÁVEL, DN 25MM, INSTALADO EM RAMAL DE DISTRIBUIÇÃO DE ÁGUA - FORNECIMENTO E INSTALAÇÃO. AF_06/2022</v>
      </c>
      <c r="E579" s="220"/>
      <c r="F579" s="220"/>
      <c r="G579" s="220"/>
      <c r="H579" s="220"/>
      <c r="I579" s="220"/>
      <c r="J579" s="220"/>
      <c r="K579" s="143" t="str">
        <f>'Planilha orç.'!E167</f>
        <v>UN</v>
      </c>
    </row>
    <row r="580" spans="1:11">
      <c r="A580" s="142"/>
      <c r="B580" s="81"/>
      <c r="C580" s="81"/>
      <c r="D580" s="83"/>
      <c r="E580" s="73"/>
      <c r="F580" s="73"/>
      <c r="G580" s="73"/>
      <c r="H580" s="73"/>
      <c r="I580" s="73"/>
      <c r="J580" s="73"/>
      <c r="K580" s="144">
        <v>1</v>
      </c>
    </row>
    <row r="581" spans="1:11" ht="27" customHeight="1">
      <c r="A581" s="142" t="str">
        <f>'Planilha orç.'!A168</f>
        <v>9.2.1.12</v>
      </c>
      <c r="B581" s="81" t="str">
        <f>'Planilha orç.'!B168</f>
        <v>SINAPI</v>
      </c>
      <c r="C581" s="81" t="str">
        <f>'Planilha orç.'!C168</f>
        <v>89358</v>
      </c>
      <c r="D581" s="219" t="str">
        <f>'Planilha orç.'!D168</f>
        <v>JOELHO 90 GRAUS, PVC, SOLDÁVEL, DN 20MM, INSTALADO EM RAMAL OU SUB-RAMAL DE ÁGUA - FORNECIMENTO E INSTALAÇÃO. AF_06/2022</v>
      </c>
      <c r="E581" s="220"/>
      <c r="F581" s="220"/>
      <c r="G581" s="220"/>
      <c r="H581" s="220"/>
      <c r="I581" s="220"/>
      <c r="J581" s="220"/>
      <c r="K581" s="143" t="str">
        <f>'Planilha orç.'!E168</f>
        <v>UN</v>
      </c>
    </row>
    <row r="582" spans="1:11">
      <c r="A582" s="142"/>
      <c r="B582" s="81"/>
      <c r="C582" s="81"/>
      <c r="D582" s="83"/>
      <c r="E582" s="73"/>
      <c r="F582" s="73"/>
      <c r="G582" s="73"/>
      <c r="H582" s="73"/>
      <c r="I582" s="73"/>
      <c r="J582" s="73"/>
      <c r="K582" s="144">
        <v>6</v>
      </c>
    </row>
    <row r="583" spans="1:11" ht="27" customHeight="1">
      <c r="A583" s="142" t="str">
        <f>'Planilha orç.'!A169</f>
        <v>9.2.1.13</v>
      </c>
      <c r="B583" s="81" t="str">
        <f>'Planilha orç.'!B169</f>
        <v>SINAPI</v>
      </c>
      <c r="C583" s="81" t="str">
        <f>'Planilha orç.'!C169</f>
        <v>90373</v>
      </c>
      <c r="D583" s="219" t="str">
        <f>'Planilha orç.'!D169</f>
        <v>JOELHO 90 GRAUS COM BUCHA DE LATÃO, PVC, SOLDÁVEL, DN 25MM, X 1/2 INSTALADO EM RAMAL OU SUB-RAMAL DE ÁGUA - FORNECIMENTO E INSTALAÇÃO. AF_06/2022</v>
      </c>
      <c r="E583" s="220"/>
      <c r="F583" s="220"/>
      <c r="G583" s="220"/>
      <c r="H583" s="220"/>
      <c r="I583" s="220"/>
      <c r="J583" s="220"/>
      <c r="K583" s="143" t="str">
        <f>'Planilha orç.'!E169</f>
        <v>UN</v>
      </c>
    </row>
    <row r="584" spans="1:11">
      <c r="A584" s="142"/>
      <c r="B584" s="81"/>
      <c r="C584" s="81"/>
      <c r="D584" s="83"/>
      <c r="E584" s="73"/>
      <c r="F584" s="73"/>
      <c r="G584" s="73"/>
      <c r="H584" s="73"/>
      <c r="I584" s="73"/>
      <c r="J584" s="73"/>
      <c r="K584" s="144">
        <v>4</v>
      </c>
    </row>
    <row r="585" spans="1:11" ht="27" customHeight="1">
      <c r="A585" s="142" t="str">
        <f>'Planilha orç.'!A170</f>
        <v>9.2.1.14</v>
      </c>
      <c r="B585" s="81" t="str">
        <f>'Planilha orç.'!B170</f>
        <v>SINAPI</v>
      </c>
      <c r="C585" s="81" t="str">
        <f>'Planilha orç.'!C170</f>
        <v>89368</v>
      </c>
      <c r="D585" s="219" t="str">
        <f>'Planilha orç.'!D170</f>
        <v>JOELHO 45 GRAUS, PVC, SOLDÁVEL, DN 32MM, INSTALADO EM RAMAL OU SUB-RAMAL DE ÁGUA - FORNECIMENTO E INSTALAÇÃO. AF_06/2022</v>
      </c>
      <c r="E585" s="220"/>
      <c r="F585" s="220"/>
      <c r="G585" s="220"/>
      <c r="H585" s="220"/>
      <c r="I585" s="220"/>
      <c r="J585" s="220"/>
      <c r="K585" s="143" t="str">
        <f>'Planilha orç.'!E170</f>
        <v>UN</v>
      </c>
    </row>
    <row r="586" spans="1:11">
      <c r="A586" s="142"/>
      <c r="B586" s="81"/>
      <c r="C586" s="81"/>
      <c r="D586" s="83"/>
      <c r="E586" s="73"/>
      <c r="F586" s="73"/>
      <c r="G586" s="73"/>
      <c r="H586" s="73"/>
      <c r="I586" s="73"/>
      <c r="J586" s="73"/>
      <c r="K586" s="144">
        <v>1</v>
      </c>
    </row>
    <row r="587" spans="1:11" ht="27.75" customHeight="1">
      <c r="A587" s="142" t="str">
        <f>'Planilha orç.'!A171</f>
        <v>9.2.1.15</v>
      </c>
      <c r="B587" s="81" t="str">
        <f>'Planilha orç.'!B171</f>
        <v>SINAPI</v>
      </c>
      <c r="C587" s="81" t="str">
        <f>'Planilha orç.'!C171</f>
        <v>89374</v>
      </c>
      <c r="D587" s="219" t="str">
        <f>'Planilha orç.'!D171</f>
        <v>LUVA COM BUCHA DE LATÃO, PVC, SOLDÁVEL, DN 20MM X 1/2", INSTALADO EM RAMAL OU SUB-RAMAL DE ÁGUA - FORNECIMENTO E INSTALAÇÃO. AF_06/2022</v>
      </c>
      <c r="E587" s="220"/>
      <c r="F587" s="220"/>
      <c r="G587" s="220"/>
      <c r="H587" s="220"/>
      <c r="I587" s="220"/>
      <c r="J587" s="220"/>
      <c r="K587" s="143" t="str">
        <f>'Planilha orç.'!E171</f>
        <v>UN</v>
      </c>
    </row>
    <row r="588" spans="1:11">
      <c r="A588" s="142"/>
      <c r="B588" s="81"/>
      <c r="C588" s="81"/>
      <c r="D588" s="83"/>
      <c r="E588" s="73"/>
      <c r="F588" s="73"/>
      <c r="G588" s="73"/>
      <c r="H588" s="73"/>
      <c r="I588" s="73"/>
      <c r="J588" s="73"/>
      <c r="K588" s="144">
        <v>1</v>
      </c>
    </row>
    <row r="589" spans="1:11" ht="27" customHeight="1">
      <c r="A589" s="142" t="str">
        <f>'Planilha orç.'!A172</f>
        <v>9.2.1.16</v>
      </c>
      <c r="B589" s="81" t="str">
        <f>'Planilha orç.'!B172</f>
        <v>SINAPI</v>
      </c>
      <c r="C589" s="81" t="str">
        <f>'Planilha orç.'!C172</f>
        <v>89385</v>
      </c>
      <c r="D589" s="219" t="str">
        <f>'Planilha orç.'!D172</f>
        <v>LUVA SOLDÁVEL E COM ROSCA, PVC, SOLDÁVEL, DN 25MM X 3/4, INSTALADO EM RAMAL OU SUB-RAMAL DE ÁGUA - FORNECIMENTO E INSTALAÇÃO. AF_06/2022</v>
      </c>
      <c r="E589" s="220"/>
      <c r="F589" s="220"/>
      <c r="G589" s="220"/>
      <c r="H589" s="220"/>
      <c r="I589" s="220"/>
      <c r="J589" s="220"/>
      <c r="K589" s="143" t="str">
        <f>'Planilha orç.'!E172</f>
        <v>UN</v>
      </c>
    </row>
    <row r="590" spans="1:11">
      <c r="A590" s="142"/>
      <c r="B590" s="81"/>
      <c r="C590" s="81"/>
      <c r="D590" s="83"/>
      <c r="E590" s="73"/>
      <c r="F590" s="73"/>
      <c r="G590" s="73"/>
      <c r="H590" s="73"/>
      <c r="I590" s="73"/>
      <c r="J590" s="73"/>
      <c r="K590" s="144">
        <v>2</v>
      </c>
    </row>
    <row r="591" spans="1:11" ht="27" customHeight="1">
      <c r="A591" s="142" t="str">
        <f>'Planilha orç.'!A173</f>
        <v>9.2.1.17</v>
      </c>
      <c r="B591" s="81" t="str">
        <f>'Planilha orç.'!B173</f>
        <v>SINAPI</v>
      </c>
      <c r="C591" s="81" t="str">
        <f>'Planilha orç.'!C173</f>
        <v>89389</v>
      </c>
      <c r="D591" s="219" t="str">
        <f>'Planilha orç.'!D173</f>
        <v>LUVA SOLDÁVEL E COM ROSCA, PVC, SOLDÁVEL, DN 32MM X 1, INSTALADO EM RAMAL OU SUB-RAMAL DE ÁGUA - FORNECIMENTO E INSTALAÇÃO. AF_06/2022</v>
      </c>
      <c r="E591" s="220"/>
      <c r="F591" s="220"/>
      <c r="G591" s="220"/>
      <c r="H591" s="220"/>
      <c r="I591" s="220"/>
      <c r="J591" s="220"/>
      <c r="K591" s="143" t="str">
        <f>'Planilha orç.'!E173</f>
        <v>UN</v>
      </c>
    </row>
    <row r="592" spans="1:11">
      <c r="A592" s="142"/>
      <c r="B592" s="81"/>
      <c r="C592" s="81"/>
      <c r="D592" s="83"/>
      <c r="E592" s="73"/>
      <c r="F592" s="73"/>
      <c r="G592" s="73"/>
      <c r="H592" s="73"/>
      <c r="I592" s="73"/>
      <c r="J592" s="73"/>
      <c r="K592" s="144">
        <v>4</v>
      </c>
    </row>
    <row r="593" spans="1:11" ht="27" customHeight="1">
      <c r="A593" s="142" t="str">
        <f>'Planilha orç.'!A174</f>
        <v>9.2.1.18</v>
      </c>
      <c r="B593" s="81" t="str">
        <f>'Planilha orç.'!B174</f>
        <v>SINAPI</v>
      </c>
      <c r="C593" s="81" t="str">
        <f>'Planilha orç.'!C174</f>
        <v>103993</v>
      </c>
      <c r="D593" s="219" t="str">
        <f>'Planilha orç.'!D174</f>
        <v>BUCHA DE REDUÇÃO, PVC, SOLDÁVEL, DN 40MM X 32MM, INSTALADO EM RAMAL DE DISTRIBUIÇÃO DE ÁGUA - FORNECIMENTO E INSTALAÇÃO. AF_06/2022</v>
      </c>
      <c r="E593" s="220"/>
      <c r="F593" s="220"/>
      <c r="G593" s="220"/>
      <c r="H593" s="220"/>
      <c r="I593" s="220"/>
      <c r="J593" s="220"/>
      <c r="K593" s="143" t="str">
        <f>'Planilha orç.'!E174</f>
        <v>UN</v>
      </c>
    </row>
    <row r="594" spans="1:11">
      <c r="A594" s="142"/>
      <c r="B594" s="81"/>
      <c r="C594" s="81"/>
      <c r="D594" s="83"/>
      <c r="E594" s="73"/>
      <c r="F594" s="73"/>
      <c r="G594" s="73"/>
      <c r="H594" s="73"/>
      <c r="I594" s="73"/>
      <c r="J594" s="73"/>
      <c r="K594" s="144">
        <v>1</v>
      </c>
    </row>
    <row r="595" spans="1:11" ht="27.75" customHeight="1">
      <c r="A595" s="142" t="str">
        <f>'Planilha orç.'!A175</f>
        <v>9.2.1.19</v>
      </c>
      <c r="B595" s="81" t="str">
        <f>'Planilha orç.'!B175</f>
        <v>SINAPI</v>
      </c>
      <c r="C595" s="81" t="str">
        <f>'Planilha orç.'!C175</f>
        <v>103948</v>
      </c>
      <c r="D595" s="219" t="str">
        <f>'Planilha orç.'!D175</f>
        <v>BUCHA DE REDUÇÃO, CURTA, PVC, SOLDÁVEL, DN 32 X 25 MM, INSTALADO EM RAMAL OU SUB-RAMAL DE ÁGUA - FORNECIMENTO E INSTALAÇÃO. AF_06/2022</v>
      </c>
      <c r="E595" s="220"/>
      <c r="F595" s="220"/>
      <c r="G595" s="220"/>
      <c r="H595" s="220"/>
      <c r="I595" s="220"/>
      <c r="J595" s="220"/>
      <c r="K595" s="143" t="str">
        <f>'Planilha orç.'!E175</f>
        <v>UN</v>
      </c>
    </row>
    <row r="596" spans="1:11">
      <c r="A596" s="142"/>
      <c r="B596" s="81"/>
      <c r="C596" s="81"/>
      <c r="D596" s="83"/>
      <c r="E596" s="73"/>
      <c r="F596" s="73"/>
      <c r="G596" s="73"/>
      <c r="H596" s="73"/>
      <c r="I596" s="73"/>
      <c r="J596" s="73"/>
      <c r="K596" s="144">
        <v>2</v>
      </c>
    </row>
    <row r="597" spans="1:11" ht="27" customHeight="1">
      <c r="A597" s="142" t="str">
        <f>'Planilha orç.'!A176</f>
        <v>9.2.1.20</v>
      </c>
      <c r="B597" s="81" t="str">
        <f>'Planilha orç.'!B176</f>
        <v>SINAPI</v>
      </c>
      <c r="C597" s="81" t="str">
        <f>'Planilha orç.'!C176</f>
        <v>103947</v>
      </c>
      <c r="D597" s="219" t="str">
        <f>'Planilha orç.'!D176</f>
        <v>BUCHA DE REDUÇÃO, CURTA, PVC, SOLDÁVEL, DN 25 X 20 MM, INSTALADO EM RAMAL OU SUB-RAMAL DE ÁGUA - FORNECIMENTO E INSTALAÇÃO. AF_06/2022</v>
      </c>
      <c r="E597" s="220"/>
      <c r="F597" s="220"/>
      <c r="G597" s="220"/>
      <c r="H597" s="220"/>
      <c r="I597" s="220"/>
      <c r="J597" s="220"/>
      <c r="K597" s="143" t="str">
        <f>'Planilha orç.'!E176</f>
        <v>UN</v>
      </c>
    </row>
    <row r="598" spans="1:11">
      <c r="A598" s="142"/>
      <c r="B598" s="81"/>
      <c r="C598" s="81"/>
      <c r="D598" s="83"/>
      <c r="E598" s="73"/>
      <c r="F598" s="73"/>
      <c r="G598" s="73"/>
      <c r="H598" s="73"/>
      <c r="I598" s="73"/>
      <c r="J598" s="73"/>
      <c r="K598" s="144">
        <v>1</v>
      </c>
    </row>
    <row r="599" spans="1:11" ht="27" customHeight="1">
      <c r="A599" s="142" t="str">
        <f>'Planilha orç.'!A177</f>
        <v>9.2.1.21</v>
      </c>
      <c r="B599" s="81" t="str">
        <f>'Planilha orç.'!B177</f>
        <v>SINAPI</v>
      </c>
      <c r="C599" s="81" t="str">
        <f>'Planilha orç.'!C177</f>
        <v>94491</v>
      </c>
      <c r="D599" s="219" t="str">
        <f>'Planilha orç.'!D177</f>
        <v>REGISTRO DE ESFERA, PVC, SOLDÁVEL, COM VOLANTE, DN 40 MM - FORNECIMENTO E INSTALAÇÃO. AF_08/2021</v>
      </c>
      <c r="E599" s="220"/>
      <c r="F599" s="220"/>
      <c r="G599" s="220"/>
      <c r="H599" s="220"/>
      <c r="I599" s="220"/>
      <c r="J599" s="220"/>
      <c r="K599" s="143" t="str">
        <f>'Planilha orç.'!E177</f>
        <v>UN</v>
      </c>
    </row>
    <row r="600" spans="1:11">
      <c r="A600" s="142"/>
      <c r="B600" s="81"/>
      <c r="C600" s="81"/>
      <c r="D600" s="83"/>
      <c r="E600" s="73"/>
      <c r="F600" s="73"/>
      <c r="G600" s="73"/>
      <c r="H600" s="73"/>
      <c r="I600" s="73"/>
      <c r="J600" s="73"/>
      <c r="K600" s="144">
        <v>1</v>
      </c>
    </row>
    <row r="601" spans="1:11" ht="27" customHeight="1">
      <c r="A601" s="142" t="str">
        <f>'Planilha orç.'!A178</f>
        <v>9.2.1.22</v>
      </c>
      <c r="B601" s="81" t="str">
        <f>'Planilha orç.'!B178</f>
        <v>SINAPI</v>
      </c>
      <c r="C601" s="81" t="str">
        <f>'Planilha orç.'!C178</f>
        <v>94490</v>
      </c>
      <c r="D601" s="219" t="str">
        <f>'Planilha orç.'!D178</f>
        <v>REGISTRO DE ESFERA, PVC, SOLDÁVEL, COM VOLANTE, DN 32 MM - FORNECIMENTO E INSTALAÇÃO. AF_08/2021</v>
      </c>
      <c r="E601" s="220"/>
      <c r="F601" s="220"/>
      <c r="G601" s="220"/>
      <c r="H601" s="220"/>
      <c r="I601" s="220"/>
      <c r="J601" s="220"/>
      <c r="K601" s="143" t="str">
        <f>'Planilha orç.'!E178</f>
        <v>UN</v>
      </c>
    </row>
    <row r="602" spans="1:11">
      <c r="A602" s="142"/>
      <c r="B602" s="81"/>
      <c r="C602" s="81"/>
      <c r="D602" s="83"/>
      <c r="E602" s="73"/>
      <c r="F602" s="73"/>
      <c r="G602" s="73"/>
      <c r="H602" s="73"/>
      <c r="I602" s="73"/>
      <c r="J602" s="73"/>
      <c r="K602" s="144">
        <v>1</v>
      </c>
    </row>
    <row r="603" spans="1:11" ht="27" customHeight="1">
      <c r="A603" s="142" t="str">
        <f>'Planilha orç.'!A179</f>
        <v>9.2.1.23</v>
      </c>
      <c r="B603" s="81" t="str">
        <f>'Planilha orç.'!B179</f>
        <v>SINAPI</v>
      </c>
      <c r="C603" s="81" t="str">
        <f>'Planilha orç.'!C179</f>
        <v>103047</v>
      </c>
      <c r="D603" s="219" t="str">
        <f>'Planilha orç.'!D179</f>
        <v>REGISTRO DE ESFERA, PVC, SOLDÁVEL, COM VOLANTE, DN 20 MM - FORNECIMENTO E INSTALAÇÃO. AF_08/2021</v>
      </c>
      <c r="E603" s="220"/>
      <c r="F603" s="220"/>
      <c r="G603" s="220"/>
      <c r="H603" s="220"/>
      <c r="I603" s="220"/>
      <c r="J603" s="220"/>
      <c r="K603" s="143" t="str">
        <f>'Planilha orç.'!E179</f>
        <v>UN</v>
      </c>
    </row>
    <row r="604" spans="1:11">
      <c r="A604" s="142"/>
      <c r="B604" s="81"/>
      <c r="C604" s="81"/>
      <c r="D604" s="83"/>
      <c r="E604" s="73"/>
      <c r="F604" s="73"/>
      <c r="G604" s="73"/>
      <c r="H604" s="73"/>
      <c r="I604" s="73"/>
      <c r="J604" s="73"/>
      <c r="K604" s="144">
        <v>1</v>
      </c>
    </row>
    <row r="605" spans="1:11" ht="26.25" customHeight="1">
      <c r="A605" s="142" t="str">
        <f>'Planilha orç.'!A180</f>
        <v>9.2.1.24</v>
      </c>
      <c r="B605" s="81" t="str">
        <f>'Planilha orç.'!B180</f>
        <v>SINAPI</v>
      </c>
      <c r="C605" s="81" t="str">
        <f>'Planilha orç.'!C180</f>
        <v>94793</v>
      </c>
      <c r="D605" s="219" t="str">
        <f>'Planilha orç.'!D180</f>
        <v>REGISTRO DE GAVETA BRUTO, LATÃO, ROSCÁVEL, 1 1/4", COM ACABAMENTO E CANOPLA CROMADOS - FORNECIMENTO E INSTALAÇÃO. AF_08/2021</v>
      </c>
      <c r="E605" s="220"/>
      <c r="F605" s="220"/>
      <c r="G605" s="220"/>
      <c r="H605" s="220"/>
      <c r="I605" s="220"/>
      <c r="J605" s="220"/>
      <c r="K605" s="143" t="str">
        <f>'Planilha orç.'!E180</f>
        <v>UN</v>
      </c>
    </row>
    <row r="606" spans="1:11">
      <c r="A606" s="142"/>
      <c r="B606" s="81"/>
      <c r="C606" s="81"/>
      <c r="D606" s="83"/>
      <c r="E606" s="73"/>
      <c r="F606" s="73"/>
      <c r="G606" s="73"/>
      <c r="H606" s="73"/>
      <c r="I606" s="73"/>
      <c r="J606" s="73"/>
      <c r="K606" s="144">
        <v>2</v>
      </c>
    </row>
    <row r="607" spans="1:11" ht="27.75" customHeight="1">
      <c r="A607" s="142" t="str">
        <f>'Planilha orç.'!A181</f>
        <v>9.2.1.25</v>
      </c>
      <c r="B607" s="81" t="str">
        <f>'Planilha orç.'!B181</f>
        <v>SINAPI</v>
      </c>
      <c r="C607" s="81" t="str">
        <f>'Planilha orç.'!C181</f>
        <v>89984</v>
      </c>
      <c r="D607" s="219" t="str">
        <f>'Planilha orç.'!D181</f>
        <v>REGISTRO DE PRESSÃO BRUTO, LATÃO, ROSCÁVEL, 1/2", COM ACABAMENTO E CANOPLA CROMADOS - FORNECIMENTO E INSTALAÇÃO. AF_08/2021</v>
      </c>
      <c r="E607" s="220"/>
      <c r="F607" s="220"/>
      <c r="G607" s="220"/>
      <c r="H607" s="220"/>
      <c r="I607" s="220"/>
      <c r="J607" s="220"/>
      <c r="K607" s="143" t="str">
        <f>'Planilha orç.'!E181</f>
        <v>UN</v>
      </c>
    </row>
    <row r="608" spans="1:11">
      <c r="A608" s="142"/>
      <c r="B608" s="81"/>
      <c r="C608" s="81"/>
      <c r="D608" s="83"/>
      <c r="E608" s="73"/>
      <c r="F608" s="73"/>
      <c r="G608" s="73"/>
      <c r="H608" s="73"/>
      <c r="I608" s="73"/>
      <c r="J608" s="73"/>
      <c r="K608" s="144">
        <v>1</v>
      </c>
    </row>
    <row r="609" spans="1:11" ht="27.75" customHeight="1">
      <c r="A609" s="142" t="str">
        <f>'Planilha orç.'!A182</f>
        <v>9.2.1.26</v>
      </c>
      <c r="B609" s="81" t="str">
        <f>'Planilha orç.'!B182</f>
        <v>SINAPI</v>
      </c>
      <c r="C609" s="81" t="str">
        <f>'Planilha orç.'!C182</f>
        <v>94705</v>
      </c>
      <c r="D609" s="219" t="str">
        <f>'Planilha orç.'!D182</f>
        <v>ADAPTADOR COM FLANGE E ANEL DE VEDAÇÃO, PVC, SOLDÁVEL, DN 40 MM X 1 1/4", INSTALADO EM RESERVAÇÃO PREDIAL DE ÁGUA - FORNECIMENTO E INSTALAÇÃO. AF_04/2024</v>
      </c>
      <c r="E609" s="220"/>
      <c r="F609" s="220"/>
      <c r="G609" s="220"/>
      <c r="H609" s="220"/>
      <c r="I609" s="220"/>
      <c r="J609" s="220"/>
      <c r="K609" s="143" t="str">
        <f>'Planilha orç.'!E182</f>
        <v>UN</v>
      </c>
    </row>
    <row r="610" spans="1:11">
      <c r="A610" s="142"/>
      <c r="B610" s="81"/>
      <c r="C610" s="81"/>
      <c r="D610" s="83"/>
      <c r="E610" s="73"/>
      <c r="F610" s="73"/>
      <c r="G610" s="73"/>
      <c r="H610" s="73"/>
      <c r="I610" s="73"/>
      <c r="J610" s="73"/>
      <c r="K610" s="144">
        <v>1</v>
      </c>
    </row>
    <row r="611" spans="1:11" ht="27.75" customHeight="1">
      <c r="A611" s="142" t="str">
        <f>'Planilha orç.'!A183</f>
        <v>9.2.1.27</v>
      </c>
      <c r="B611" s="81" t="str">
        <f>'Planilha orç.'!B183</f>
        <v>SINAPI</v>
      </c>
      <c r="C611" s="81" t="str">
        <f>'Planilha orç.'!C183</f>
        <v>94704</v>
      </c>
      <c r="D611" s="219" t="str">
        <f>'Planilha orç.'!D183</f>
        <v>ADAPTADOR COM FLANGE E ANEL DE VEDAÇÃO, PVC, SOLDÁVEL, DN 32 MM X 1", INSTALADO EM RESERVAÇÃO PREDIAL DE ÁGUA - FORNECIMENTO E INSTALAÇÃO. AF_04/2024</v>
      </c>
      <c r="E611" s="220"/>
      <c r="F611" s="220"/>
      <c r="G611" s="220"/>
      <c r="H611" s="220"/>
      <c r="I611" s="220"/>
      <c r="J611" s="220"/>
      <c r="K611" s="143" t="str">
        <f>'Planilha orç.'!E183</f>
        <v>UN</v>
      </c>
    </row>
    <row r="612" spans="1:11">
      <c r="A612" s="142"/>
      <c r="B612" s="81"/>
      <c r="C612" s="81"/>
      <c r="D612" s="83"/>
      <c r="E612" s="73"/>
      <c r="F612" s="73"/>
      <c r="G612" s="73"/>
      <c r="H612" s="73"/>
      <c r="I612" s="73"/>
      <c r="J612" s="73"/>
      <c r="K612" s="144">
        <v>2</v>
      </c>
    </row>
    <row r="613" spans="1:11" ht="27" customHeight="1">
      <c r="A613" s="142" t="str">
        <f>'Planilha orç.'!A184</f>
        <v>9.2.1.28</v>
      </c>
      <c r="B613" s="81" t="str">
        <f>'Planilha orç.'!B184</f>
        <v>SINAPI</v>
      </c>
      <c r="C613" s="81" t="str">
        <f>'Planilha orç.'!C184</f>
        <v>94703</v>
      </c>
      <c r="D613" s="219" t="str">
        <f>'Planilha orç.'!D184</f>
        <v>ADAPTADOR COM FLANGE E ANEL DE VEDAÇÃO, PVC, SOLDÁVEL, DN 25 MM X 3/4", INSTALADO EM RESERVAÇÃO PREDIAL DE ÁGUA - FORNECIMENTO E INSTALAÇÃO. AF_04/2024</v>
      </c>
      <c r="E613" s="220"/>
      <c r="F613" s="220"/>
      <c r="G613" s="220"/>
      <c r="H613" s="220"/>
      <c r="I613" s="220"/>
      <c r="J613" s="220"/>
      <c r="K613" s="143" t="str">
        <f>'Planilha orç.'!E184</f>
        <v>UN</v>
      </c>
    </row>
    <row r="614" spans="1:11">
      <c r="A614" s="142"/>
      <c r="B614" s="81"/>
      <c r="C614" s="81"/>
      <c r="D614" s="83"/>
      <c r="E614" s="73"/>
      <c r="F614" s="73"/>
      <c r="G614" s="73"/>
      <c r="H614" s="73"/>
      <c r="I614" s="73"/>
      <c r="J614" s="73"/>
      <c r="K614" s="144">
        <v>1</v>
      </c>
    </row>
    <row r="615" spans="1:11" ht="27" customHeight="1">
      <c r="A615" s="142" t="str">
        <f>'Planilha orç.'!A185</f>
        <v>9.2.1.29</v>
      </c>
      <c r="B615" s="81" t="str">
        <f>'Planilha orç.'!B185</f>
        <v>SINAPI</v>
      </c>
      <c r="C615" s="81" t="str">
        <f>'Planilha orç.'!C185</f>
        <v>102623</v>
      </c>
      <c r="D615" s="219" t="str">
        <f>'Planilha orç.'!D185</f>
        <v>CAIXA D´ÁGUA EM POLIETILENO, 1000 LITROS (INCLUSOS TUBOS, CONEXÕES E TORNEIRA DE BÓIA) - FORNECIMENTO E INSTALAÇÃO. AF_06/2021</v>
      </c>
      <c r="E615" s="220"/>
      <c r="F615" s="220"/>
      <c r="G615" s="220"/>
      <c r="H615" s="220"/>
      <c r="I615" s="220"/>
      <c r="J615" s="220"/>
      <c r="K615" s="143" t="str">
        <f>'Planilha orç.'!E185</f>
        <v>UN</v>
      </c>
    </row>
    <row r="616" spans="1:11">
      <c r="A616" s="142"/>
      <c r="B616" s="81"/>
      <c r="C616" s="81"/>
      <c r="D616" s="83"/>
      <c r="E616" s="73"/>
      <c r="F616" s="73"/>
      <c r="G616" s="73"/>
      <c r="H616" s="73"/>
      <c r="I616" s="73"/>
      <c r="J616" s="73"/>
      <c r="K616" s="144">
        <v>1</v>
      </c>
    </row>
    <row r="617" spans="1:11">
      <c r="A617" s="142" t="str">
        <f>'Planilha orç.'!A186</f>
        <v>9.2.1.30</v>
      </c>
      <c r="B617" s="81" t="str">
        <f>'Planilha orç.'!B186</f>
        <v>SINAPI</v>
      </c>
      <c r="C617" s="81" t="str">
        <f>'Planilha orç.'!C186</f>
        <v>94795</v>
      </c>
      <c r="D617" s="219" t="str">
        <f>'Planilha orç.'!D186</f>
        <v>TORNEIRA DE BOIA PARA CAIXA D'ÁGUA, ROSCÁVEL, 1/2" - FORNECIMENTO E INSTALAÇÃO. AF_08/2021</v>
      </c>
      <c r="E617" s="220"/>
      <c r="F617" s="220"/>
      <c r="G617" s="220"/>
      <c r="H617" s="220"/>
      <c r="I617" s="220"/>
      <c r="J617" s="220"/>
      <c r="K617" s="143" t="str">
        <f>'Planilha orç.'!E186</f>
        <v>UN</v>
      </c>
    </row>
    <row r="618" spans="1:11">
      <c r="A618" s="142"/>
      <c r="B618" s="81"/>
      <c r="C618" s="81"/>
      <c r="D618" s="83"/>
      <c r="E618" s="73"/>
      <c r="F618" s="73"/>
      <c r="G618" s="73"/>
      <c r="H618" s="73"/>
      <c r="I618" s="73"/>
      <c r="J618" s="73"/>
      <c r="K618" s="144">
        <v>1</v>
      </c>
    </row>
    <row r="619" spans="1:11" ht="25.5" customHeight="1">
      <c r="A619" s="142" t="str">
        <f>'Planilha orç.'!A187</f>
        <v>9.2.1.31</v>
      </c>
      <c r="B619" s="81" t="str">
        <f>'Planilha orç.'!B187</f>
        <v>SINAPI</v>
      </c>
      <c r="C619" s="81" t="str">
        <f>'Planilha orç.'!C187</f>
        <v>103978</v>
      </c>
      <c r="D619" s="219" t="str">
        <f>'Planilha orç.'!D187</f>
        <v>TUBO, PVC, SOLDÁVEL, DE 40MM, INSTALADO EM RAMAL DE DISTRIBUIÇÃO DE ÁGUA - FORNECIMENTO E INSTALAÇÃO. AF_06/2022</v>
      </c>
      <c r="E619" s="220"/>
      <c r="F619" s="220"/>
      <c r="G619" s="220"/>
      <c r="H619" s="220"/>
      <c r="I619" s="220"/>
      <c r="J619" s="220"/>
      <c r="K619" s="143" t="str">
        <f>'Planilha orç.'!E187</f>
        <v>M</v>
      </c>
    </row>
    <row r="620" spans="1:11">
      <c r="A620" s="142"/>
      <c r="B620" s="81"/>
      <c r="C620" s="81"/>
      <c r="D620" s="83"/>
      <c r="E620" s="73"/>
      <c r="F620" s="73"/>
      <c r="G620" s="73"/>
      <c r="H620" s="73"/>
      <c r="I620" s="73"/>
      <c r="J620" s="73"/>
      <c r="K620" s="144">
        <v>6</v>
      </c>
    </row>
    <row r="621" spans="1:11" ht="25.5" customHeight="1">
      <c r="A621" s="142" t="str">
        <f>'Planilha orç.'!A188</f>
        <v>9.2.1.32</v>
      </c>
      <c r="B621" s="81" t="str">
        <f>'Planilha orç.'!B188</f>
        <v>SINAPI</v>
      </c>
      <c r="C621" s="81" t="str">
        <f>'Planilha orç.'!C188</f>
        <v>89403</v>
      </c>
      <c r="D621" s="219" t="str">
        <f>'Planilha orç.'!D188</f>
        <v>TUBO, PVC, SOLDÁVEL, DE 32MM, INSTALADO EM RAMAL DE DISTRIBUIÇÃO DE ÁGUA - FORNECIMENTO E INSTALAÇÃO. AF_06/2022</v>
      </c>
      <c r="E621" s="220"/>
      <c r="F621" s="220"/>
      <c r="G621" s="220"/>
      <c r="H621" s="220"/>
      <c r="I621" s="220"/>
      <c r="J621" s="220"/>
      <c r="K621" s="143" t="str">
        <f>'Planilha orç.'!E188</f>
        <v>M</v>
      </c>
    </row>
    <row r="622" spans="1:11">
      <c r="A622" s="142"/>
      <c r="B622" s="81"/>
      <c r="C622" s="81"/>
      <c r="D622" s="83"/>
      <c r="E622" s="73"/>
      <c r="F622" s="73"/>
      <c r="G622" s="73"/>
      <c r="H622" s="73"/>
      <c r="I622" s="73"/>
      <c r="J622" s="73"/>
      <c r="K622" s="144">
        <v>11</v>
      </c>
    </row>
    <row r="623" spans="1:11" ht="26.25" customHeight="1">
      <c r="A623" s="142" t="str">
        <f>'Planilha orç.'!A189</f>
        <v>9.2.1.33</v>
      </c>
      <c r="B623" s="81" t="str">
        <f>'Planilha orç.'!B189</f>
        <v>SINAPI</v>
      </c>
      <c r="C623" s="81" t="str">
        <f>'Planilha orç.'!C189</f>
        <v>89402</v>
      </c>
      <c r="D623" s="219" t="str">
        <f>'Planilha orç.'!D189</f>
        <v>TUBO, PVC, SOLDÁVEL, DE 25MM, INSTALADO EM RAMAL DE DISTRIBUIÇÃO DE ÁGUA - FORNECIMENTO E INSTALAÇÃO. AF_06/2022</v>
      </c>
      <c r="E623" s="220"/>
      <c r="F623" s="220"/>
      <c r="G623" s="220"/>
      <c r="H623" s="220"/>
      <c r="I623" s="220"/>
      <c r="J623" s="220"/>
      <c r="K623" s="143" t="str">
        <f>'Planilha orç.'!E189</f>
        <v>M</v>
      </c>
    </row>
    <row r="624" spans="1:11">
      <c r="A624" s="142"/>
      <c r="B624" s="81"/>
      <c r="C624" s="81"/>
      <c r="D624" s="83"/>
      <c r="E624" s="73"/>
      <c r="F624" s="73"/>
      <c r="G624" s="73"/>
      <c r="H624" s="73"/>
      <c r="I624" s="73"/>
      <c r="J624" s="73"/>
      <c r="K624" s="144">
        <v>3.5</v>
      </c>
    </row>
    <row r="625" spans="1:11" ht="26.25" customHeight="1">
      <c r="A625" s="142" t="str">
        <f>'Planilha orç.'!A190</f>
        <v>9.2.1.34</v>
      </c>
      <c r="B625" s="81" t="str">
        <f>'Planilha orç.'!B190</f>
        <v>SINAPI</v>
      </c>
      <c r="C625" s="81" t="str">
        <f>'Planilha orç.'!C190</f>
        <v>89401</v>
      </c>
      <c r="D625" s="219" t="str">
        <f>'Planilha orç.'!D190</f>
        <v>TUBO, PVC, SOLDÁVEL, DE 20MM, INSTALADO EM RAMAL DE DISTRIBUIÇÃO DE ÁGUA - FORNECIMENTO E INSTALAÇÃO. AF_06/2022</v>
      </c>
      <c r="E625" s="220"/>
      <c r="F625" s="220"/>
      <c r="G625" s="220"/>
      <c r="H625" s="220"/>
      <c r="I625" s="220"/>
      <c r="J625" s="220"/>
      <c r="K625" s="143" t="str">
        <f>'Planilha orç.'!E190</f>
        <v>M</v>
      </c>
    </row>
    <row r="626" spans="1:11">
      <c r="A626" s="142"/>
      <c r="B626" s="81"/>
      <c r="C626" s="81"/>
      <c r="D626" s="83"/>
      <c r="E626" s="73"/>
      <c r="F626" s="73"/>
      <c r="G626" s="73"/>
      <c r="H626" s="73"/>
      <c r="I626" s="73"/>
      <c r="J626" s="73"/>
      <c r="K626" s="144">
        <v>25</v>
      </c>
    </row>
    <row r="627" spans="1:11">
      <c r="A627" s="142" t="str">
        <f>'Planilha orç.'!A191</f>
        <v>9.2.1.35</v>
      </c>
      <c r="B627" s="81" t="str">
        <f>'Planilha orç.'!B191</f>
        <v>SINAPI</v>
      </c>
      <c r="C627" s="81" t="str">
        <f>'Planilha orç.'!C191</f>
        <v>102591</v>
      </c>
      <c r="D627" s="219" t="str">
        <f>'Planilha orç.'!D191</f>
        <v>FURO EM CAIXA D'ÁGUA COM ESPESSURA DE 2 ATÉ 5 MM E DIÂMETRO DE 25 MM. AF_06/2021</v>
      </c>
      <c r="E627" s="220"/>
      <c r="F627" s="220"/>
      <c r="G627" s="220"/>
      <c r="H627" s="220"/>
      <c r="I627" s="220"/>
      <c r="J627" s="220"/>
      <c r="K627" s="143" t="str">
        <f>'Planilha orç.'!E191</f>
        <v>UN</v>
      </c>
    </row>
    <row r="628" spans="1:11">
      <c r="A628" s="142"/>
      <c r="B628" s="81"/>
      <c r="C628" s="81"/>
      <c r="D628" s="83"/>
      <c r="E628" s="73"/>
      <c r="F628" s="73"/>
      <c r="G628" s="73"/>
      <c r="H628" s="73"/>
      <c r="I628" s="73"/>
      <c r="J628" s="73"/>
      <c r="K628" s="144">
        <v>1</v>
      </c>
    </row>
    <row r="629" spans="1:11">
      <c r="A629" s="142" t="str">
        <f>'Planilha orç.'!A192</f>
        <v>9.2.1.36</v>
      </c>
      <c r="B629" s="81" t="str">
        <f>'Planilha orç.'!B192</f>
        <v>SINAPI</v>
      </c>
      <c r="C629" s="81" t="str">
        <f>'Planilha orç.'!C192</f>
        <v>102595</v>
      </c>
      <c r="D629" s="219" t="str">
        <f>'Planilha orç.'!D192</f>
        <v>FURO EM CAIXA D'ÁGUA COM ESPESSURA DE 2 ATÉ 5 MM E DIÂMETRO DE 40 MM. AF_06/2021</v>
      </c>
      <c r="E629" s="220"/>
      <c r="F629" s="220"/>
      <c r="G629" s="220"/>
      <c r="H629" s="220"/>
      <c r="I629" s="220"/>
      <c r="J629" s="220"/>
      <c r="K629" s="143" t="str">
        <f>'Planilha orç.'!E192</f>
        <v>UN</v>
      </c>
    </row>
    <row r="630" spans="1:11">
      <c r="A630" s="142"/>
      <c r="B630" s="81"/>
      <c r="C630" s="81"/>
      <c r="D630" s="83"/>
      <c r="E630" s="73"/>
      <c r="F630" s="73"/>
      <c r="G630" s="73"/>
      <c r="H630" s="73"/>
      <c r="I630" s="73"/>
      <c r="J630" s="73"/>
      <c r="K630" s="144">
        <v>1</v>
      </c>
    </row>
    <row r="631" spans="1:11">
      <c r="A631" s="142" t="str">
        <f>'Planilha orç.'!A193</f>
        <v>9.2.1.37</v>
      </c>
      <c r="B631" s="81" t="str">
        <f>'Planilha orç.'!B193</f>
        <v>SINAPI</v>
      </c>
      <c r="C631" s="81" t="str">
        <f>'Planilha orç.'!C193</f>
        <v>102593</v>
      </c>
      <c r="D631" s="219" t="str">
        <f>'Planilha orç.'!D193</f>
        <v>FURO EM CAIXA D'ÁGUA COM ESPESSURA DE 2 ATÉ 5 MM E DIÂMETRO DE 32 MM. AF_06/2021</v>
      </c>
      <c r="E631" s="220"/>
      <c r="F631" s="220"/>
      <c r="G631" s="220"/>
      <c r="H631" s="220"/>
      <c r="I631" s="220"/>
      <c r="J631" s="220"/>
      <c r="K631" s="143" t="str">
        <f>'Planilha orç.'!E193</f>
        <v>UN</v>
      </c>
    </row>
    <row r="632" spans="1:11">
      <c r="A632" s="142"/>
      <c r="B632" s="81"/>
      <c r="C632" s="81"/>
      <c r="D632" s="83"/>
      <c r="E632" s="73"/>
      <c r="F632" s="73"/>
      <c r="G632" s="73"/>
      <c r="H632" s="73"/>
      <c r="I632" s="73"/>
      <c r="J632" s="73"/>
      <c r="K632" s="144">
        <v>2</v>
      </c>
    </row>
    <row r="633" spans="1:11" ht="28.5" customHeight="1">
      <c r="A633" s="142" t="str">
        <f>'Planilha orç.'!A194</f>
        <v>9.2.1.38</v>
      </c>
      <c r="B633" s="81" t="str">
        <f>'Planilha orç.'!B194</f>
        <v>SINAPI</v>
      </c>
      <c r="C633" s="81" t="str">
        <f>'Planilha orç.'!C194</f>
        <v>97741</v>
      </c>
      <c r="D633" s="219" t="str">
        <f>'Planilha orç.'!D194</f>
        <v>KIT CAVALETE PARA MEDIÇÃO DE ÁGUA - ENTRADA INDIVIDUALIZADA, EM PVC 25 MM (3/4"), PARA 1 MEDIDOR - FORNECIMENTO E INSTALAÇÃO (EXCLUSIVE HIDRÔMETRO). AF_03/2024</v>
      </c>
      <c r="E633" s="220"/>
      <c r="F633" s="220"/>
      <c r="G633" s="220"/>
      <c r="H633" s="220"/>
      <c r="I633" s="220"/>
      <c r="J633" s="220"/>
      <c r="K633" s="143" t="str">
        <f>'Planilha orç.'!E194</f>
        <v>UN</v>
      </c>
    </row>
    <row r="634" spans="1:11">
      <c r="A634" s="142"/>
      <c r="B634" s="81"/>
      <c r="C634" s="81"/>
      <c r="D634" s="83"/>
      <c r="E634" s="73"/>
      <c r="F634" s="73"/>
      <c r="G634" s="73"/>
      <c r="H634" s="73"/>
      <c r="I634" s="73"/>
      <c r="J634" s="73"/>
      <c r="K634" s="144">
        <v>1</v>
      </c>
    </row>
    <row r="635" spans="1:11">
      <c r="A635" s="142" t="str">
        <f>'Planilha orç.'!A195</f>
        <v>9.2.1.39</v>
      </c>
      <c r="B635" s="81" t="str">
        <f>'Planilha orç.'!B195</f>
        <v>SINAPI</v>
      </c>
      <c r="C635" s="81" t="str">
        <f>'Planilha orç.'!C195</f>
        <v>94795</v>
      </c>
      <c r="D635" s="219" t="str">
        <f>'Planilha orç.'!D195</f>
        <v>TORNEIRA DE BOIA PARA CAIXA D'ÁGUA, ROSCÁVEL, 1/2" - FORNECIMENTO E INSTALAÇÃO. AF_08/2021</v>
      </c>
      <c r="E635" s="220"/>
      <c r="F635" s="220"/>
      <c r="G635" s="220"/>
      <c r="H635" s="220"/>
      <c r="I635" s="220"/>
      <c r="J635" s="220"/>
      <c r="K635" s="143" t="str">
        <f>'Planilha orç.'!E195</f>
        <v>UN</v>
      </c>
    </row>
    <row r="636" spans="1:11">
      <c r="A636" s="142"/>
      <c r="B636" s="81"/>
      <c r="C636" s="81"/>
      <c r="D636" s="83"/>
      <c r="E636" s="73"/>
      <c r="F636" s="73"/>
      <c r="G636" s="73"/>
      <c r="H636" s="73"/>
      <c r="I636" s="73"/>
      <c r="J636" s="73"/>
      <c r="K636" s="144">
        <v>1</v>
      </c>
    </row>
    <row r="637" spans="1:11">
      <c r="A637" s="142" t="str">
        <f>'Planilha orç.'!A196</f>
        <v>9.2.1.40</v>
      </c>
      <c r="B637" s="81" t="str">
        <f>'Planilha orç.'!B196</f>
        <v>SINAPI</v>
      </c>
      <c r="C637" s="81" t="str">
        <f>'Planilha orç.'!C196</f>
        <v>86916</v>
      </c>
      <c r="D637" s="219" t="str">
        <f>'Planilha orç.'!D196</f>
        <v>TORNEIRA PLÁSTICA 3/4" PARA TANQUE - FORNECIMENTO E INSTALAÇÃO. AF_01/2020</v>
      </c>
      <c r="E637" s="220"/>
      <c r="F637" s="220"/>
      <c r="G637" s="220"/>
      <c r="H637" s="220"/>
      <c r="I637" s="220"/>
      <c r="J637" s="220"/>
      <c r="K637" s="143" t="str">
        <f>'Planilha orç.'!E196</f>
        <v>UN</v>
      </c>
    </row>
    <row r="638" spans="1:11">
      <c r="A638" s="142"/>
      <c r="B638" s="81"/>
      <c r="C638" s="81"/>
      <c r="D638" s="83"/>
      <c r="E638" s="73"/>
      <c r="F638" s="73"/>
      <c r="G638" s="73"/>
      <c r="H638" s="73"/>
      <c r="I638" s="73"/>
      <c r="J638" s="73"/>
      <c r="K638" s="144">
        <v>2</v>
      </c>
    </row>
    <row r="639" spans="1:11">
      <c r="A639" s="148" t="str">
        <f>'Planilha orç.'!A197</f>
        <v>9.3</v>
      </c>
      <c r="B639" s="221" t="str">
        <f>'Planilha orç.'!D197</f>
        <v>SANITÁRIAS</v>
      </c>
      <c r="C639" s="222">
        <f>'Planilha orç.'!C197</f>
        <v>0</v>
      </c>
      <c r="D639" s="222" t="str">
        <f>'Planilha orç.'!D197</f>
        <v>SANITÁRIAS</v>
      </c>
      <c r="E639" s="222"/>
      <c r="F639" s="222"/>
      <c r="G639" s="222"/>
      <c r="H639" s="222"/>
      <c r="I639" s="222"/>
      <c r="J639" s="222"/>
      <c r="K639" s="223" t="str">
        <f>'Planilha orç.'!E197</f>
        <v>-</v>
      </c>
    </row>
    <row r="640" spans="1:11">
      <c r="A640" s="148" t="str">
        <f>'Planilha orç.'!A198</f>
        <v>9.3.1</v>
      </c>
      <c r="B640" s="221" t="str">
        <f>'Planilha orç.'!D198</f>
        <v>TUBULAÇÕES E CONEXÕES</v>
      </c>
      <c r="C640" s="222">
        <f>'Planilha orç.'!C198</f>
        <v>0</v>
      </c>
      <c r="D640" s="222" t="str">
        <f>'Planilha orç.'!D198</f>
        <v>TUBULAÇÕES E CONEXÕES</v>
      </c>
      <c r="E640" s="222"/>
      <c r="F640" s="222"/>
      <c r="G640" s="222"/>
      <c r="H640" s="222"/>
      <c r="I640" s="222"/>
      <c r="J640" s="222"/>
      <c r="K640" s="223" t="str">
        <f>'Planilha orç.'!E198</f>
        <v>-</v>
      </c>
    </row>
    <row r="641" spans="1:11" ht="25.5" customHeight="1">
      <c r="A641" s="142" t="str">
        <f>'Planilha orç.'!A199</f>
        <v>9.3.1.1</v>
      </c>
      <c r="B641" s="81" t="str">
        <f>'Planilha orç.'!B199</f>
        <v>SINAPI</v>
      </c>
      <c r="C641" s="81" t="str">
        <f>'Planilha orç.'!C199</f>
        <v>89732</v>
      </c>
      <c r="D641" s="219" t="str">
        <f>'Planilha orç.'!D199</f>
        <v>JOELHO 45 GRAUS, PVC, SERIE NORMAL, ESGOTO PREDIAL, DN 50 MM, JUNTA ELÁSTICA, FORNECIDO E INSTALADO EM RAMAL DE DESCARGA OU RAMAL DE ESGOTO SANITÁRIO. AF_08/2022</v>
      </c>
      <c r="E641" s="220"/>
      <c r="F641" s="220"/>
      <c r="G641" s="220"/>
      <c r="H641" s="220"/>
      <c r="I641" s="220"/>
      <c r="J641" s="220"/>
      <c r="K641" s="143" t="str">
        <f>'Planilha orç.'!E199</f>
        <v>UN</v>
      </c>
    </row>
    <row r="642" spans="1:11">
      <c r="A642" s="142"/>
      <c r="B642" s="81"/>
      <c r="C642" s="81"/>
      <c r="D642" s="83"/>
      <c r="E642" s="73"/>
      <c r="F642" s="73"/>
      <c r="G642" s="73"/>
      <c r="H642" s="73"/>
      <c r="I642" s="73"/>
      <c r="J642" s="73"/>
      <c r="K642" s="144">
        <v>4</v>
      </c>
    </row>
    <row r="643" spans="1:11" ht="26.25" customHeight="1">
      <c r="A643" s="142" t="str">
        <f>'Planilha orç.'!A200</f>
        <v>9.3.1.2</v>
      </c>
      <c r="B643" s="81" t="str">
        <f>'Planilha orç.'!B200</f>
        <v>SINAPI</v>
      </c>
      <c r="C643" s="81" t="str">
        <f>'Planilha orç.'!C200</f>
        <v>89739</v>
      </c>
      <c r="D643" s="219" t="str">
        <f>'Planilha orç.'!D200</f>
        <v>JOELHO 45 GRAUS, PVC, SERIE NORMAL, ESGOTO PREDIAL, DN 75 MM, JUNTA ELÁSTICA, FORNECIDO E INSTALADO EM RAMAL DE DESCARGA OU RAMAL DE ESGOTO SANITÁRIO. AF_08/2022</v>
      </c>
      <c r="E643" s="220"/>
      <c r="F643" s="220"/>
      <c r="G643" s="220"/>
      <c r="H643" s="220"/>
      <c r="I643" s="220"/>
      <c r="J643" s="220"/>
      <c r="K643" s="143" t="str">
        <f>'Planilha orç.'!E200</f>
        <v>UN</v>
      </c>
    </row>
    <row r="644" spans="1:11">
      <c r="A644" s="142"/>
      <c r="B644" s="81"/>
      <c r="C644" s="81"/>
      <c r="D644" s="83"/>
      <c r="E644" s="73"/>
      <c r="F644" s="73"/>
      <c r="G644" s="73"/>
      <c r="H644" s="73"/>
      <c r="I644" s="73"/>
      <c r="J644" s="73"/>
      <c r="K644" s="144">
        <v>4</v>
      </c>
    </row>
    <row r="645" spans="1:11" ht="25.5" customHeight="1">
      <c r="A645" s="142" t="str">
        <f>'Planilha orç.'!A201</f>
        <v>9.3.1.3</v>
      </c>
      <c r="B645" s="81" t="str">
        <f>'Planilha orç.'!B201</f>
        <v>SINAPI</v>
      </c>
      <c r="C645" s="81" t="str">
        <f>'Planilha orç.'!C201</f>
        <v>89731</v>
      </c>
      <c r="D645" s="219" t="str">
        <f>'Planilha orç.'!D201</f>
        <v>JOELHO 90 GRAUS, PVC, SERIE NORMAL, ESGOTO PREDIAL, DN 50 MM, JUNTA ELÁSTICA, FORNECIDO E INSTALADO EM RAMAL DE DESCARGA OU RAMAL DE ESGOTO SANITÁRIO. AF_08/2022</v>
      </c>
      <c r="E645" s="220"/>
      <c r="F645" s="220"/>
      <c r="G645" s="220"/>
      <c r="H645" s="220"/>
      <c r="I645" s="220"/>
      <c r="J645" s="220"/>
      <c r="K645" s="143" t="str">
        <f>'Planilha orç.'!E201</f>
        <v>UN</v>
      </c>
    </row>
    <row r="646" spans="1:11">
      <c r="A646" s="142"/>
      <c r="B646" s="81"/>
      <c r="C646" s="81"/>
      <c r="D646" s="83"/>
      <c r="E646" s="73"/>
      <c r="F646" s="73"/>
      <c r="G646" s="73"/>
      <c r="H646" s="73"/>
      <c r="I646" s="73"/>
      <c r="J646" s="73"/>
      <c r="K646" s="144">
        <v>10</v>
      </c>
    </row>
    <row r="647" spans="1:11" ht="26.25" customHeight="1">
      <c r="A647" s="142" t="str">
        <f>'Planilha orç.'!A202</f>
        <v>9.3.1.4</v>
      </c>
      <c r="B647" s="81" t="str">
        <f>'Planilha orç.'!B202</f>
        <v>SINAPI</v>
      </c>
      <c r="C647" s="81" t="str">
        <f>'Planilha orç.'!C202</f>
        <v>89744</v>
      </c>
      <c r="D647" s="219" t="str">
        <f>'Planilha orç.'!D202</f>
        <v>JOELHO 90 GRAUS, PVC, SERIE NORMAL, ESGOTO PREDIAL, DN 100 MM, JUNTA ELÁSTICA, FORNECIDO E INSTALADO EM RAMAL DE DESCARGA OU RAMAL DE ESGOTO SANITÁRIO. AF_08/2022</v>
      </c>
      <c r="E647" s="220"/>
      <c r="F647" s="220"/>
      <c r="G647" s="220"/>
      <c r="H647" s="220"/>
      <c r="I647" s="220"/>
      <c r="J647" s="220"/>
      <c r="K647" s="143" t="str">
        <f>'Planilha orç.'!E202</f>
        <v>UN</v>
      </c>
    </row>
    <row r="648" spans="1:11">
      <c r="A648" s="142"/>
      <c r="B648" s="81"/>
      <c r="C648" s="81"/>
      <c r="D648" s="83"/>
      <c r="E648" s="73"/>
      <c r="F648" s="73"/>
      <c r="G648" s="73"/>
      <c r="H648" s="73"/>
      <c r="I648" s="73"/>
      <c r="J648" s="73"/>
      <c r="K648" s="144">
        <v>1</v>
      </c>
    </row>
    <row r="649" spans="1:11" ht="26.25" customHeight="1">
      <c r="A649" s="142" t="str">
        <f>'Planilha orç.'!A203</f>
        <v>9.3.1.5</v>
      </c>
      <c r="B649" s="81" t="str">
        <f>'Planilha orç.'!B203</f>
        <v>SINAPI</v>
      </c>
      <c r="C649" s="81" t="str">
        <f>'Planilha orç.'!C203</f>
        <v>89733</v>
      </c>
      <c r="D649" s="219" t="str">
        <f>'Planilha orç.'!D203</f>
        <v>CURVA CURTA 90 GRAUS, PVC, SERIE NORMAL, ESGOTO PREDIAL, DN 50 MM, JUNTA ELÁSTICA, FORNECIDO E INSTALADO EM RAMAL DE DESCARGA OU RAMAL DE ESGOTO SANITÁRIO. AF_08/2022</v>
      </c>
      <c r="E649" s="220"/>
      <c r="F649" s="220"/>
      <c r="G649" s="220"/>
      <c r="H649" s="220"/>
      <c r="I649" s="220"/>
      <c r="J649" s="220"/>
      <c r="K649" s="143" t="str">
        <f>'Planilha orç.'!E203</f>
        <v>UN</v>
      </c>
    </row>
    <row r="650" spans="1:11">
      <c r="A650" s="142"/>
      <c r="B650" s="81"/>
      <c r="C650" s="81"/>
      <c r="D650" s="83"/>
      <c r="E650" s="73"/>
      <c r="F650" s="73"/>
      <c r="G650" s="73"/>
      <c r="H650" s="73"/>
      <c r="I650" s="73"/>
      <c r="J650" s="73"/>
      <c r="K650" s="144">
        <v>1</v>
      </c>
    </row>
    <row r="651" spans="1:11" ht="39" customHeight="1">
      <c r="A651" s="142" t="str">
        <f>'Planilha orç.'!A204</f>
        <v>9.3.1.6</v>
      </c>
      <c r="B651" s="81" t="str">
        <f>'Planilha orç.'!B204</f>
        <v>SINAPI</v>
      </c>
      <c r="C651" s="81" t="str">
        <f>'Planilha orç.'!C204</f>
        <v>104345</v>
      </c>
      <c r="D651" s="219" t="str">
        <f>'Planilha orç.'!D204</f>
        <v>JUNÇÃO DE REDUÇÃO INVERTIDA, PVC, SÉRIE NORMAL, ESGOTO PREDIAL, DN 100 X 50 MM, JUNTA ELÁSTICA, FORNECIDO E INSTALADO EM RAMAL DE DESCARGA OU RAMAL DE ESGOTO SANITÁRIO. AF_08/2022</v>
      </c>
      <c r="E651" s="220"/>
      <c r="F651" s="220"/>
      <c r="G651" s="220"/>
      <c r="H651" s="220"/>
      <c r="I651" s="220"/>
      <c r="J651" s="220"/>
      <c r="K651" s="143" t="str">
        <f>'Planilha orç.'!E204</f>
        <v>UN</v>
      </c>
    </row>
    <row r="652" spans="1:11">
      <c r="A652" s="142"/>
      <c r="B652" s="81"/>
      <c r="C652" s="81"/>
      <c r="D652" s="83"/>
      <c r="E652" s="73"/>
      <c r="F652" s="73"/>
      <c r="G652" s="73"/>
      <c r="H652" s="73"/>
      <c r="I652" s="73"/>
      <c r="J652" s="73"/>
      <c r="K652" s="144">
        <v>1</v>
      </c>
    </row>
    <row r="653" spans="1:11" ht="27" customHeight="1">
      <c r="A653" s="142" t="str">
        <f>'Planilha orç.'!A205</f>
        <v>9.3.1.7</v>
      </c>
      <c r="B653" s="81" t="str">
        <f>'Planilha orç.'!B205</f>
        <v>SINAPI</v>
      </c>
      <c r="C653" s="81" t="str">
        <f>'Planilha orç.'!C205</f>
        <v>104344</v>
      </c>
      <c r="D653" s="219" t="str">
        <f>'Planilha orç.'!D205</f>
        <v>TE, PVC, SÉRIE NORMAL, ESGOTO PREDIAL, DN 100 X 50 MM, JUNTA ELÁSTICA, FORNECIDO E INSTALADO EM RAMAL DE DESCARGA OU RAMAL DE ESGOTO SANITÁRIO. AF_08/2022</v>
      </c>
      <c r="E653" s="220"/>
      <c r="F653" s="220"/>
      <c r="G653" s="220"/>
      <c r="H653" s="220"/>
      <c r="I653" s="220"/>
      <c r="J653" s="220"/>
      <c r="K653" s="143" t="str">
        <f>'Planilha orç.'!E205</f>
        <v>UN</v>
      </c>
    </row>
    <row r="654" spans="1:11">
      <c r="A654" s="142"/>
      <c r="B654" s="81"/>
      <c r="C654" s="81"/>
      <c r="D654" s="83"/>
      <c r="E654" s="73"/>
      <c r="F654" s="73"/>
      <c r="G654" s="73"/>
      <c r="H654" s="73"/>
      <c r="I654" s="73"/>
      <c r="J654" s="73"/>
      <c r="K654" s="144">
        <v>1</v>
      </c>
    </row>
    <row r="655" spans="1:11" ht="26.25" customHeight="1">
      <c r="A655" s="142" t="str">
        <f>'Planilha orç.'!A206</f>
        <v>9.3.1.8</v>
      </c>
      <c r="B655" s="81" t="str">
        <f>'Planilha orç.'!B206</f>
        <v>SINAPI</v>
      </c>
      <c r="C655" s="81" t="str">
        <f>'Planilha orç.'!C206</f>
        <v>89784</v>
      </c>
      <c r="D655" s="219" t="str">
        <f>'Planilha orç.'!D206</f>
        <v>TE, PVC, SERIE NORMAL, ESGOTO PREDIAL, DN 50 X 50 MM, JUNTA ELÁSTICA, FORNECIDO E INSTALADO EM RAMAL DE DESCARGA OU RAMAL DE ESGOTO SANITÁRIO. AF_08/2022</v>
      </c>
      <c r="E655" s="220"/>
      <c r="F655" s="220"/>
      <c r="G655" s="220"/>
      <c r="H655" s="220"/>
      <c r="I655" s="220"/>
      <c r="J655" s="220"/>
      <c r="K655" s="143" t="str">
        <f>'Planilha orç.'!E206</f>
        <v>UN</v>
      </c>
    </row>
    <row r="656" spans="1:11">
      <c r="A656" s="142"/>
      <c r="B656" s="81"/>
      <c r="C656" s="81"/>
      <c r="D656" s="83"/>
      <c r="E656" s="73"/>
      <c r="F656" s="73"/>
      <c r="G656" s="73"/>
      <c r="H656" s="73"/>
      <c r="I656" s="73"/>
      <c r="J656" s="73"/>
      <c r="K656" s="144">
        <v>3</v>
      </c>
    </row>
    <row r="657" spans="1:11" ht="26.25" customHeight="1">
      <c r="A657" s="142" t="str">
        <f>'Planilha orç.'!A207</f>
        <v>9.3.1.9</v>
      </c>
      <c r="B657" s="81" t="str">
        <f>'Planilha orç.'!B207</f>
        <v>SINAPI</v>
      </c>
      <c r="C657" s="81" t="str">
        <f>'Planilha orç.'!C207</f>
        <v>89778</v>
      </c>
      <c r="D657" s="219" t="str">
        <f>'Planilha orç.'!D207</f>
        <v>LUVA SIMPLES, PVC, SERIE NORMAL, ESGOTO PREDIAL, DN 100 MM, JUNTA ELÁSTICA, FORNECIDO E INSTALADO EM RAMAL DE DESCARGA OU RAMAL DE ESGOTO SANITÁRIO. AF_08/2022</v>
      </c>
      <c r="E657" s="220"/>
      <c r="F657" s="220"/>
      <c r="G657" s="220"/>
      <c r="H657" s="220"/>
      <c r="I657" s="220"/>
      <c r="J657" s="220"/>
      <c r="K657" s="143" t="str">
        <f>'Planilha orç.'!E207</f>
        <v>UN</v>
      </c>
    </row>
    <row r="658" spans="1:11">
      <c r="A658" s="142"/>
      <c r="B658" s="81"/>
      <c r="C658" s="81"/>
      <c r="D658" s="83"/>
      <c r="E658" s="73"/>
      <c r="F658" s="73"/>
      <c r="G658" s="73"/>
      <c r="H658" s="73"/>
      <c r="I658" s="73"/>
      <c r="J658" s="73"/>
      <c r="K658" s="144">
        <v>5</v>
      </c>
    </row>
    <row r="659" spans="1:11" ht="27" customHeight="1">
      <c r="A659" s="142" t="str">
        <f>'Planilha orç.'!A208</f>
        <v>9.3.1.10</v>
      </c>
      <c r="B659" s="81" t="str">
        <f>'Planilha orç.'!B208</f>
        <v>SINAPI</v>
      </c>
      <c r="C659" s="81" t="str">
        <f>'Planilha orç.'!C208</f>
        <v>89774</v>
      </c>
      <c r="D659" s="219" t="str">
        <f>'Planilha orç.'!D208</f>
        <v>LUVA SIMPLES, PVC, SERIE NORMAL, ESGOTO PREDIAL, DN 75 MM, JUNTA ELÁSTICA, FORNECIDO E INSTALADO EM RAMAL DE DESCARGA OU RAMAL DE ESGOTO SANITÁRIO. AF_08/2022</v>
      </c>
      <c r="E659" s="220"/>
      <c r="F659" s="220"/>
      <c r="G659" s="220"/>
      <c r="H659" s="220"/>
      <c r="I659" s="220"/>
      <c r="J659" s="220"/>
      <c r="K659" s="143" t="str">
        <f>'Planilha orç.'!E208</f>
        <v>UN</v>
      </c>
    </row>
    <row r="660" spans="1:11">
      <c r="A660" s="142"/>
      <c r="B660" s="81"/>
      <c r="C660" s="81"/>
      <c r="D660" s="83"/>
      <c r="E660" s="73"/>
      <c r="F660" s="73"/>
      <c r="G660" s="73"/>
      <c r="H660" s="73"/>
      <c r="I660" s="73"/>
      <c r="J660" s="73"/>
      <c r="K660" s="144">
        <v>4</v>
      </c>
    </row>
    <row r="661" spans="1:11" ht="27.75" customHeight="1">
      <c r="A661" s="142" t="str">
        <f>'Planilha orç.'!A209</f>
        <v>9.3.1.11</v>
      </c>
      <c r="B661" s="81" t="str">
        <f>'Planilha orç.'!B209</f>
        <v>SINAPI</v>
      </c>
      <c r="C661" s="81" t="str">
        <f>'Planilha orç.'!C209</f>
        <v>89754</v>
      </c>
      <c r="D661" s="219" t="str">
        <f>'Planilha orç.'!D209</f>
        <v>LUVA DE CORRER, PVC, SERIE NORMAL, ESGOTO PREDIAL, DN 50 MM, JUNTA ELÁSTICA, FORNECIDO E INSTALADO EM RAMAL DE DESCARGA OU RAMAL DE ESGOTO SANITÁRIO. AF_08/2022</v>
      </c>
      <c r="E661" s="220"/>
      <c r="F661" s="220"/>
      <c r="G661" s="220"/>
      <c r="H661" s="220"/>
      <c r="I661" s="220"/>
      <c r="J661" s="220"/>
      <c r="K661" s="143" t="str">
        <f>'Planilha orç.'!E209</f>
        <v>UN</v>
      </c>
    </row>
    <row r="662" spans="1:11">
      <c r="A662" s="142"/>
      <c r="B662" s="81"/>
      <c r="C662" s="81"/>
      <c r="D662" s="83"/>
      <c r="E662" s="73"/>
      <c r="F662" s="73"/>
      <c r="G662" s="73"/>
      <c r="H662" s="73"/>
      <c r="I662" s="73"/>
      <c r="J662" s="73"/>
      <c r="K662" s="144">
        <v>16</v>
      </c>
    </row>
    <row r="663" spans="1:11" ht="26.25" customHeight="1">
      <c r="A663" s="142" t="str">
        <f>'Planilha orç.'!A210</f>
        <v>9.3.1.12</v>
      </c>
      <c r="B663" s="81" t="str">
        <f>'Planilha orç.'!B210</f>
        <v>SINAPI</v>
      </c>
      <c r="C663" s="81" t="str">
        <f>'Planilha orç.'!C210</f>
        <v>89707</v>
      </c>
      <c r="D663" s="219" t="str">
        <f>'Planilha orç.'!D210</f>
        <v>CAIXA SIFONADA, PVC, DN 100 X 100 X 50 MM, JUNTA ELÁSTICA, FORNECIDA E INSTALADA EM RAMAL DE DESCARGA OU EM RAMAL DE ESGOTO SANITÁRIO. AF_08/2022</v>
      </c>
      <c r="E663" s="220"/>
      <c r="F663" s="220"/>
      <c r="G663" s="220"/>
      <c r="H663" s="220"/>
      <c r="I663" s="220"/>
      <c r="J663" s="220"/>
      <c r="K663" s="143" t="str">
        <f>'Planilha orç.'!E210</f>
        <v>UN</v>
      </c>
    </row>
    <row r="664" spans="1:11">
      <c r="A664" s="142"/>
      <c r="B664" s="81"/>
      <c r="C664" s="81"/>
      <c r="D664" s="83"/>
      <c r="E664" s="73"/>
      <c r="F664" s="73"/>
      <c r="G664" s="73"/>
      <c r="H664" s="73"/>
      <c r="I664" s="73"/>
      <c r="J664" s="73"/>
      <c r="K664" s="144">
        <v>2</v>
      </c>
    </row>
    <row r="665" spans="1:11" ht="38.25" customHeight="1">
      <c r="A665" s="142" t="str">
        <f>'Planilha orç.'!A211</f>
        <v>9.3.1.13</v>
      </c>
      <c r="B665" s="81" t="str">
        <f>'Planilha orç.'!B211</f>
        <v>SINAPI</v>
      </c>
      <c r="C665" s="81" t="str">
        <f>'Planilha orç.'!C211</f>
        <v>104341</v>
      </c>
      <c r="D665" s="219" t="str">
        <f>'Planilha orç.'!D211</f>
        <v>BUCHA DE REDUÇÃO LONGA, PVC, SÉRIE NORMAL, ESGOTO PREDIAL, DN 50 X 40 MM, JUNTA SOLDÁVEL E ELÁSTICA, FORNECIDO E INSTALADO EM RAMAL DE DESCARGA OU RAMAL DE ESGOTO SANITÁRIO. AF_08/2022</v>
      </c>
      <c r="E665" s="220"/>
      <c r="F665" s="220"/>
      <c r="G665" s="220"/>
      <c r="H665" s="220"/>
      <c r="I665" s="220"/>
      <c r="J665" s="220"/>
      <c r="K665" s="152" t="str">
        <f>'Planilha orç.'!E211</f>
        <v>UN</v>
      </c>
    </row>
    <row r="666" spans="1:11">
      <c r="A666" s="142"/>
      <c r="B666" s="81"/>
      <c r="C666" s="81"/>
      <c r="D666" s="83"/>
      <c r="E666" s="73"/>
      <c r="F666" s="73"/>
      <c r="G666" s="73"/>
      <c r="H666" s="73"/>
      <c r="I666" s="73"/>
      <c r="J666" s="73"/>
      <c r="K666" s="144">
        <v>1</v>
      </c>
    </row>
    <row r="667" spans="1:11" ht="26.25" customHeight="1">
      <c r="A667" s="142" t="str">
        <f>'Planilha orç.'!A212</f>
        <v>9.3.1.14</v>
      </c>
      <c r="B667" s="81" t="str">
        <f>'Planilha orç.'!B212</f>
        <v>SINAPI</v>
      </c>
      <c r="C667" s="81" t="str">
        <f>'Planilha orç.'!C212</f>
        <v>89712</v>
      </c>
      <c r="D667" s="219" t="str">
        <f>'Planilha orç.'!D212</f>
        <v>TUBO PVC, SERIE NORMAL, ESGOTO PREDIAL, DN 50 MM, FORNECIDO E INSTALADO EM RAMAL DE DESCARGA OU RAMAL DE ESGOTO SANITÁRIO. AF_08/2022</v>
      </c>
      <c r="E667" s="220"/>
      <c r="F667" s="220"/>
      <c r="G667" s="220"/>
      <c r="H667" s="220"/>
      <c r="I667" s="220"/>
      <c r="J667" s="220"/>
      <c r="K667" s="152" t="str">
        <f>'Planilha orç.'!E212</f>
        <v>M</v>
      </c>
    </row>
    <row r="668" spans="1:11">
      <c r="A668" s="142"/>
      <c r="B668" s="81"/>
      <c r="C668" s="81"/>
      <c r="D668" s="83"/>
      <c r="E668" s="73"/>
      <c r="F668" s="73"/>
      <c r="G668" s="73"/>
      <c r="H668" s="73"/>
      <c r="I668" s="73"/>
      <c r="J668" s="73"/>
      <c r="K668" s="144">
        <v>14</v>
      </c>
    </row>
    <row r="669" spans="1:11" ht="26.25" customHeight="1">
      <c r="A669" s="142" t="str">
        <f>'Planilha orç.'!A213</f>
        <v>9.3.1.15</v>
      </c>
      <c r="B669" s="81" t="str">
        <f>'Planilha orç.'!B213</f>
        <v>SINAPI</v>
      </c>
      <c r="C669" s="81" t="str">
        <f>'Planilha orç.'!C213</f>
        <v>89713</v>
      </c>
      <c r="D669" s="219" t="str">
        <f>'Planilha orç.'!D213</f>
        <v>TUBO PVC, SERIE NORMAL, ESGOTO PREDIAL, DN 75 MM, FORNECIDO E INSTALADO EM RAMAL DE DESCARGA OU RAMAL DE ESGOTO SANITÁRIO. AF_08/2022</v>
      </c>
      <c r="E669" s="220"/>
      <c r="F669" s="220"/>
      <c r="G669" s="220"/>
      <c r="H669" s="220"/>
      <c r="I669" s="220"/>
      <c r="J669" s="220"/>
      <c r="K669" s="152" t="str">
        <f>'Planilha orç.'!E213</f>
        <v>M</v>
      </c>
    </row>
    <row r="670" spans="1:11">
      <c r="A670" s="142"/>
      <c r="B670" s="81"/>
      <c r="C670" s="81"/>
      <c r="D670" s="83"/>
      <c r="E670" s="73"/>
      <c r="F670" s="73"/>
      <c r="G670" s="73"/>
      <c r="H670" s="73"/>
      <c r="I670" s="73"/>
      <c r="J670" s="73"/>
      <c r="K670" s="144">
        <v>1</v>
      </c>
    </row>
    <row r="671" spans="1:11" ht="25.5" customHeight="1">
      <c r="A671" s="142" t="str">
        <f>'Planilha orç.'!A214</f>
        <v>9.3.1.16</v>
      </c>
      <c r="B671" s="81" t="str">
        <f>'Planilha orç.'!B214</f>
        <v>SINAPI</v>
      </c>
      <c r="C671" s="81" t="str">
        <f>'Planilha orç.'!C214</f>
        <v>89714</v>
      </c>
      <c r="D671" s="219" t="str">
        <f>'Planilha orç.'!D214</f>
        <v>TUBO PVC, SERIE NORMAL, ESGOTO PREDIAL, DN 100 MM, FORNECIDO E INSTALADO EM RAMAL DE DESCARGA OU RAMAL DE ESGOTO SANITÁRIO. AF_08/2022</v>
      </c>
      <c r="E671" s="220"/>
      <c r="F671" s="220"/>
      <c r="G671" s="220"/>
      <c r="H671" s="220"/>
      <c r="I671" s="220"/>
      <c r="J671" s="220"/>
      <c r="K671" s="152" t="str">
        <f>'Planilha orç.'!E214</f>
        <v>M</v>
      </c>
    </row>
    <row r="672" spans="1:11">
      <c r="A672" s="142"/>
      <c r="B672" s="81"/>
      <c r="C672" s="81"/>
      <c r="D672" s="83"/>
      <c r="E672" s="73"/>
      <c r="F672" s="73"/>
      <c r="G672" s="73"/>
      <c r="H672" s="73"/>
      <c r="I672" s="73"/>
      <c r="J672" s="73"/>
      <c r="K672" s="144">
        <v>16</v>
      </c>
    </row>
    <row r="673" spans="1:11" ht="25.5" customHeight="1">
      <c r="A673" s="142" t="str">
        <f>'Planilha orç.'!A215</f>
        <v>9.3.1.17</v>
      </c>
      <c r="B673" s="81" t="str">
        <f>'Planilha orç.'!B215</f>
        <v>SINAPI</v>
      </c>
      <c r="C673" s="81" t="str">
        <f>'Planilha orç.'!C215</f>
        <v>104348</v>
      </c>
      <c r="D673" s="219" t="str">
        <f>'Planilha orç.'!D215</f>
        <v>TERMINAL DE VENTILAÇÃO, PVC, SÉRIE NORMAL, ESGOTO PREDIAL, DN 50 MM, JUNTA SOLDÁVEL, FORNECIDO E INSTALADO EM PRUMADA DE ESGOTO SANITÁRIO OU VENTILAÇÃO. AF_08/2022</v>
      </c>
      <c r="E673" s="220"/>
      <c r="F673" s="220"/>
      <c r="G673" s="220"/>
      <c r="H673" s="220"/>
      <c r="I673" s="220"/>
      <c r="J673" s="220"/>
      <c r="K673" s="152" t="str">
        <f>'Planilha orç.'!E215</f>
        <v>UN</v>
      </c>
    </row>
    <row r="674" spans="1:11">
      <c r="A674" s="142"/>
      <c r="B674" s="81"/>
      <c r="C674" s="81"/>
      <c r="D674" s="83"/>
      <c r="E674" s="73"/>
      <c r="F674" s="73"/>
      <c r="G674" s="73"/>
      <c r="H674" s="73"/>
      <c r="I674" s="73"/>
      <c r="J674" s="73"/>
      <c r="K674" s="144">
        <v>1</v>
      </c>
    </row>
    <row r="675" spans="1:11" ht="27" customHeight="1">
      <c r="A675" s="142" t="str">
        <f>'Planilha orç.'!A216</f>
        <v>9.3.1.18</v>
      </c>
      <c r="B675" s="81" t="str">
        <f>'Planilha orç.'!B216</f>
        <v>SINAPI</v>
      </c>
      <c r="C675" s="81" t="str">
        <f>'Planilha orç.'!C216</f>
        <v>98110</v>
      </c>
      <c r="D675" s="219" t="str">
        <f>'Planilha orç.'!D216</f>
        <v>CAIXA DE GORDURA PEQUENA (CAPACIDADE: 19 L), CIRCULAR, EM PVC, DIÂMETRO INTERNO= 0,3 M. AF_12/2020</v>
      </c>
      <c r="E675" s="220"/>
      <c r="F675" s="220"/>
      <c r="G675" s="220"/>
      <c r="H675" s="220"/>
      <c r="I675" s="220"/>
      <c r="J675" s="220"/>
      <c r="K675" s="152" t="str">
        <f>'Planilha orç.'!E216</f>
        <v>UN</v>
      </c>
    </row>
    <row r="676" spans="1:11">
      <c r="A676" s="142"/>
      <c r="B676" s="81"/>
      <c r="C676" s="81"/>
      <c r="D676" s="83"/>
      <c r="E676" s="73"/>
      <c r="F676" s="73"/>
      <c r="G676" s="73"/>
      <c r="H676" s="73"/>
      <c r="I676" s="73"/>
      <c r="J676" s="73"/>
      <c r="K676" s="144">
        <v>1</v>
      </c>
    </row>
    <row r="677" spans="1:11" ht="26.25" customHeight="1">
      <c r="A677" s="142" t="str">
        <f>'Planilha orç.'!A217</f>
        <v>9.3.1.19</v>
      </c>
      <c r="B677" s="81" t="str">
        <f>'Planilha orç.'!B217</f>
        <v>SINAPI</v>
      </c>
      <c r="C677" s="81" t="str">
        <f>'Planilha orç.'!C217</f>
        <v>89708</v>
      </c>
      <c r="D677" s="219" t="str">
        <f>'Planilha orç.'!D217</f>
        <v>CAIXA SIFONADA, PVC, DN 150 X 185 X 75 MM, JUNTA ELÁSTICA, FORNECIDA E INSTALADA EM RAMAL DE DESCARGA OU EM RAMAL DE ESGOTO SANITÁRIO. AF_08/2022</v>
      </c>
      <c r="E677" s="220"/>
      <c r="F677" s="220"/>
      <c r="G677" s="220"/>
      <c r="H677" s="220"/>
      <c r="I677" s="220"/>
      <c r="J677" s="220"/>
      <c r="K677" s="152" t="str">
        <f>'Planilha orç.'!E217</f>
        <v>UN</v>
      </c>
    </row>
    <row r="678" spans="1:11">
      <c r="A678" s="142"/>
      <c r="B678" s="81"/>
      <c r="C678" s="81"/>
      <c r="D678" s="83"/>
      <c r="E678" s="73"/>
      <c r="F678" s="73"/>
      <c r="G678" s="73"/>
      <c r="H678" s="73"/>
      <c r="I678" s="73"/>
      <c r="J678" s="73"/>
      <c r="K678" s="144">
        <v>1</v>
      </c>
    </row>
    <row r="679" spans="1:11" ht="27" customHeight="1">
      <c r="A679" s="142" t="str">
        <f>'Planilha orç.'!A218</f>
        <v>9.3.1.20</v>
      </c>
      <c r="B679" s="81" t="str">
        <f>'Planilha orç.'!B218</f>
        <v>SINAPI</v>
      </c>
      <c r="C679" s="81" t="str">
        <f>'Planilha orç.'!C218</f>
        <v>97902</v>
      </c>
      <c r="D679" s="219" t="str">
        <f>'Planilha orç.'!D218</f>
        <v>CAIXA ENTERRADA HIDRÁULICA RETANGULAR EM ALVENARIA COM TIJOLOS CERÂMICOS MACIÇOS, DIMENSÕES INTERNAS: 0,6X0,6X0,6 M PARA REDE DE ESGOTO. AF_12/2020</v>
      </c>
      <c r="E679" s="220"/>
      <c r="F679" s="220"/>
      <c r="G679" s="220"/>
      <c r="H679" s="220"/>
      <c r="I679" s="220"/>
      <c r="J679" s="220"/>
      <c r="K679" s="152" t="str">
        <f>'Planilha orç.'!E218</f>
        <v>UN</v>
      </c>
    </row>
    <row r="680" spans="1:11">
      <c r="A680" s="142"/>
      <c r="B680" s="81"/>
      <c r="C680" s="81"/>
      <c r="D680" s="83"/>
      <c r="E680" s="73"/>
      <c r="F680" s="73"/>
      <c r="G680" s="73"/>
      <c r="H680" s="73"/>
      <c r="I680" s="73"/>
      <c r="J680" s="73"/>
      <c r="K680" s="144">
        <v>1</v>
      </c>
    </row>
    <row r="681" spans="1:11">
      <c r="A681" s="148" t="str">
        <f>'Planilha orç.'!A219</f>
        <v>9.4</v>
      </c>
      <c r="B681" s="221" t="str">
        <f>'Planilha orç.'!D219</f>
        <v>APARELHOS, METAIS E BANCADAS</v>
      </c>
      <c r="C681" s="222">
        <f>'Planilha orç.'!C219</f>
        <v>0</v>
      </c>
      <c r="D681" s="222" t="str">
        <f>'Planilha orç.'!D219</f>
        <v>APARELHOS, METAIS E BANCADAS</v>
      </c>
      <c r="E681" s="222"/>
      <c r="F681" s="222"/>
      <c r="G681" s="222"/>
      <c r="H681" s="222"/>
      <c r="I681" s="222"/>
      <c r="J681" s="222"/>
      <c r="K681" s="223" t="str">
        <f>'Planilha orç.'!E219</f>
        <v>-</v>
      </c>
    </row>
    <row r="682" spans="1:11" ht="25.5" customHeight="1">
      <c r="A682" s="142" t="str">
        <f>'Planilha orç.'!A220</f>
        <v>9.4.1</v>
      </c>
      <c r="B682" s="81" t="str">
        <f>'Planilha orç.'!B220</f>
        <v>SINAPI</v>
      </c>
      <c r="C682" s="81" t="str">
        <f>'Planilha orç.'!C220</f>
        <v>86931</v>
      </c>
      <c r="D682" s="219" t="str">
        <f>'Planilha orç.'!D220</f>
        <v>VASO SANITÁRIO SIFONADO COM CAIXA ACOPLADA LOUÇA BRANCA, INCLUSO ENGATE FLEXÍVEL EM PLÁSTICO BRANCO, 1/2 X 40CM - FORNECIMENTO E INSTALAÇÃO. AF_01/2020</v>
      </c>
      <c r="E682" s="220"/>
      <c r="F682" s="220"/>
      <c r="G682" s="220"/>
      <c r="H682" s="220"/>
      <c r="I682" s="220"/>
      <c r="J682" s="220"/>
      <c r="K682" s="143" t="str">
        <f>'Planilha orç.'!E220</f>
        <v>UN</v>
      </c>
    </row>
    <row r="683" spans="1:11">
      <c r="A683" s="142"/>
      <c r="B683" s="81"/>
      <c r="C683" s="81"/>
      <c r="D683" s="83"/>
      <c r="E683" s="73"/>
      <c r="F683" s="73"/>
      <c r="G683" s="73"/>
      <c r="H683" s="73"/>
      <c r="I683" s="73"/>
      <c r="J683" s="73"/>
      <c r="K683" s="144">
        <v>1</v>
      </c>
    </row>
    <row r="684" spans="1:11" ht="41.25" customHeight="1">
      <c r="A684" s="142" t="str">
        <f>'Planilha orç.'!A221</f>
        <v>9.4.2</v>
      </c>
      <c r="B684" s="81" t="str">
        <f>'Planilha orç.'!B221</f>
        <v>SINAPI</v>
      </c>
      <c r="C684" s="81" t="str">
        <f>'Planilha orç.'!C221</f>
        <v>86943</v>
      </c>
      <c r="D684" s="219" t="str">
        <f>'Planilha orç.'!D221</f>
        <v>LAVATÓRIO LOUÇA BRANCA SUSPENSO, 29,5 X 39CM OU EQUIVALENTE, PADRÃO POPULAR, INCLUSO SIFÃO FLEXÍVEL EM PVC, VÁLVULA E ENGATE FLEXÍVEL 30CM EM PLÁSTICO E TORNEIRA CROMADA DE MESA, PADRÃO POPULAR - FORNECIMENTO E INSTALAÇÃO. AF_01/2020</v>
      </c>
      <c r="E684" s="220"/>
      <c r="F684" s="220"/>
      <c r="G684" s="220"/>
      <c r="H684" s="220"/>
      <c r="I684" s="220"/>
      <c r="J684" s="220"/>
      <c r="K684" s="143" t="str">
        <f>'Planilha orç.'!E221</f>
        <v>UN</v>
      </c>
    </row>
    <row r="685" spans="1:11">
      <c r="A685" s="142"/>
      <c r="B685" s="81"/>
      <c r="C685" s="81"/>
      <c r="D685" s="83"/>
      <c r="E685" s="73"/>
      <c r="F685" s="73"/>
      <c r="G685" s="73"/>
      <c r="H685" s="73"/>
      <c r="I685" s="73"/>
      <c r="J685" s="73"/>
      <c r="K685" s="144">
        <v>1</v>
      </c>
    </row>
    <row r="686" spans="1:11" ht="38.25" customHeight="1">
      <c r="A686" s="142" t="str">
        <f>'Planilha orç.'!A222</f>
        <v>9.4.3</v>
      </c>
      <c r="B686" s="81" t="str">
        <f>'Planilha orç.'!B222</f>
        <v>SINAPI</v>
      </c>
      <c r="C686" s="81">
        <f>'Planilha orç.'!C222</f>
        <v>86933</v>
      </c>
      <c r="D686" s="219" t="str">
        <f>'Planilha orç.'!D222</f>
        <v>BANCADA DE MÁRMORE SINTÉTICO 120 X 60CM, COM CUBA INTEGRADA, INCLUSO SIFÃO TIPO GARRAFA EM PVC, VÁLVULA EM PLÁSTICO CROMADO TIPO AMERICANA E TORNEIRA CROMADA LONGA, DE PAREDE, PADRÃO POPULAR - FORNECIMENTO E INSTALAÇÃO. AF_01/2020</v>
      </c>
      <c r="E686" s="220"/>
      <c r="F686" s="220"/>
      <c r="G686" s="220"/>
      <c r="H686" s="220"/>
      <c r="I686" s="220"/>
      <c r="J686" s="220"/>
      <c r="K686" s="143" t="str">
        <f>'Planilha orç.'!E222</f>
        <v>UN</v>
      </c>
    </row>
    <row r="687" spans="1:11">
      <c r="A687" s="142"/>
      <c r="B687" s="81"/>
      <c r="C687" s="81"/>
      <c r="D687" s="83"/>
      <c r="E687" s="73"/>
      <c r="F687" s="73"/>
      <c r="G687" s="73"/>
      <c r="H687" s="73"/>
      <c r="I687" s="73"/>
      <c r="J687" s="73"/>
      <c r="K687" s="144">
        <v>1</v>
      </c>
    </row>
    <row r="688" spans="1:11" ht="27" customHeight="1">
      <c r="A688" s="142" t="str">
        <f>'Planilha orç.'!A223</f>
        <v>9.4.4</v>
      </c>
      <c r="B688" s="81" t="str">
        <f>'Planilha orç.'!B223</f>
        <v>SINAPI</v>
      </c>
      <c r="C688" s="81" t="str">
        <f>'Planilha orç.'!C223</f>
        <v>86924</v>
      </c>
      <c r="D688" s="219" t="str">
        <f>'Planilha orç.'!D223</f>
        <v>TANQUE DE LOUÇA BRANCA SUSPENSO, 18L OU EQUIVALENTE, INCLUSO SIFÃO TIPO GARRAFA EM PVC, VÁLVULA PLÁSTICA E TORNEIRA DE PLÁSTICO - FORNECIMENTO E INSTALAÇÃO. AF_01/2020</v>
      </c>
      <c r="E688" s="220"/>
      <c r="F688" s="220"/>
      <c r="G688" s="220"/>
      <c r="H688" s="220"/>
      <c r="I688" s="220"/>
      <c r="J688" s="220"/>
      <c r="K688" s="143" t="str">
        <f>'Planilha orç.'!E223</f>
        <v>UN</v>
      </c>
    </row>
    <row r="689" spans="1:12">
      <c r="A689" s="142"/>
      <c r="B689" s="81"/>
      <c r="C689" s="81"/>
      <c r="D689" s="83"/>
      <c r="E689" s="73"/>
      <c r="F689" s="73"/>
      <c r="G689" s="73"/>
      <c r="H689" s="73"/>
      <c r="I689" s="73"/>
      <c r="J689" s="73"/>
      <c r="K689" s="144">
        <v>1</v>
      </c>
    </row>
    <row r="690" spans="1:12" ht="12.75" customHeight="1">
      <c r="A690" s="148">
        <f>'Planilha orç.'!A224</f>
        <v>10</v>
      </c>
      <c r="B690" s="221" t="str">
        <f>'Planilha orç.'!D224</f>
        <v>LIMPEZA</v>
      </c>
      <c r="C690" s="222"/>
      <c r="D690" s="222"/>
      <c r="E690" s="222"/>
      <c r="F690" s="222"/>
      <c r="G690" s="222"/>
      <c r="H690" s="222"/>
      <c r="I690" s="222"/>
      <c r="J690" s="222"/>
      <c r="K690" s="223"/>
    </row>
    <row r="691" spans="1:12" ht="25.5" customHeight="1">
      <c r="A691" s="142" t="str">
        <f>'Planilha orç.'!A225</f>
        <v>10.1</v>
      </c>
      <c r="B691" s="81" t="str">
        <f>'Planilha orç.'!B225</f>
        <v>SINAPI</v>
      </c>
      <c r="C691" s="81" t="str">
        <f>'Planilha orç.'!C225</f>
        <v>99818</v>
      </c>
      <c r="D691" s="219" t="str">
        <f>'Planilha orç.'!D225</f>
        <v>LIMPEZA DE BACIA SANITÁRIA, BIDÊ OU MICTÓRIO EM LOUÇA, INCLUSIVE METAIS CORRESPONDENTES. AF_04/2019</v>
      </c>
      <c r="E691" s="220"/>
      <c r="F691" s="220"/>
      <c r="G691" s="220"/>
      <c r="H691" s="220"/>
      <c r="I691" s="220"/>
      <c r="J691" s="220"/>
      <c r="K691" s="143" t="str">
        <f>'Planilha orç.'!E225</f>
        <v>UN</v>
      </c>
    </row>
    <row r="692" spans="1:12">
      <c r="A692" s="142"/>
      <c r="B692" s="78"/>
      <c r="C692" s="82"/>
      <c r="D692" s="83"/>
      <c r="E692" s="73"/>
      <c r="F692" s="73"/>
      <c r="G692" s="84"/>
      <c r="H692" s="84"/>
      <c r="I692" s="84"/>
      <c r="J692" s="73"/>
      <c r="K692" s="143">
        <v>1</v>
      </c>
    </row>
    <row r="693" spans="1:12">
      <c r="A693" s="142"/>
      <c r="B693" s="78"/>
      <c r="C693" s="82"/>
      <c r="D693" s="83"/>
      <c r="E693" s="73"/>
      <c r="F693" s="73"/>
      <c r="G693" s="73"/>
      <c r="H693" s="73"/>
      <c r="I693" s="73"/>
      <c r="J693" s="73"/>
      <c r="K693" s="144">
        <f>1</f>
        <v>1</v>
      </c>
    </row>
    <row r="694" spans="1:12" ht="4.5" customHeight="1">
      <c r="A694" s="224"/>
      <c r="B694" s="225"/>
      <c r="C694" s="225"/>
      <c r="D694" s="225"/>
      <c r="E694" s="225"/>
      <c r="F694" s="225"/>
      <c r="G694" s="225"/>
      <c r="H694" s="225"/>
      <c r="I694" s="225"/>
      <c r="J694" s="225"/>
      <c r="K694" s="226"/>
    </row>
    <row r="695" spans="1:12">
      <c r="A695" s="142" t="str">
        <f>'Planilha orç.'!A226</f>
        <v>10.2</v>
      </c>
      <c r="B695" s="78" t="str">
        <f>'Planilha orç.'!B226</f>
        <v>SINAPI</v>
      </c>
      <c r="C695" s="82" t="str">
        <f>'Planilha orç.'!C226</f>
        <v>99819</v>
      </c>
      <c r="D695" s="219" t="str">
        <f>'Planilha orç.'!D226</f>
        <v>LIMPEZA DE BANCADA DE PEDRA (MÁRMORE OU GRANITO). AF_04/2019</v>
      </c>
      <c r="E695" s="220"/>
      <c r="F695" s="220"/>
      <c r="G695" s="220"/>
      <c r="H695" s="220"/>
      <c r="I695" s="220"/>
      <c r="J695" s="220"/>
      <c r="K695" s="143" t="str">
        <f>'Planilha orç.'!E226</f>
        <v>M2</v>
      </c>
    </row>
    <row r="696" spans="1:12" ht="12.75" customHeight="1">
      <c r="A696" s="147"/>
      <c r="B696" s="78"/>
      <c r="C696" s="79"/>
      <c r="D696" s="84"/>
      <c r="E696" s="84" t="s">
        <v>79</v>
      </c>
      <c r="F696" s="73"/>
      <c r="G696" s="84" t="s">
        <v>79</v>
      </c>
      <c r="H696" s="84"/>
      <c r="I696" s="84" t="s">
        <v>84</v>
      </c>
      <c r="J696" s="84"/>
      <c r="K696" s="143"/>
      <c r="L696" s="137">
        <f>87.13+24.28+7+59.24+7+127.87+19.3+7.9</f>
        <v>339.72</v>
      </c>
    </row>
    <row r="697" spans="1:12" ht="12.75" customHeight="1">
      <c r="A697" s="147"/>
      <c r="B697" s="78"/>
      <c r="C697" s="79"/>
      <c r="D697" s="132" t="s">
        <v>732</v>
      </c>
      <c r="E697" s="84">
        <v>2.19</v>
      </c>
      <c r="F697" s="73" t="s">
        <v>388</v>
      </c>
      <c r="G697" s="84">
        <v>0.85</v>
      </c>
      <c r="H697" s="84" t="s">
        <v>733</v>
      </c>
      <c r="I697" s="84">
        <v>0.6</v>
      </c>
      <c r="J697" s="84" t="s">
        <v>83</v>
      </c>
      <c r="K697" s="143">
        <f>ROUND((E697+G697)*I697,2)</f>
        <v>1.82</v>
      </c>
      <c r="L697" s="137">
        <f>70.84+7+70.63</f>
        <v>148.47</v>
      </c>
    </row>
    <row r="698" spans="1:12">
      <c r="A698" s="147"/>
      <c r="B698" s="78"/>
      <c r="C698" s="79"/>
      <c r="D698" s="84"/>
      <c r="E698" s="84"/>
      <c r="F698" s="73"/>
      <c r="G698" s="84"/>
      <c r="H698" s="84"/>
      <c r="I698" s="84"/>
      <c r="J698" s="84"/>
      <c r="K698" s="144">
        <f>SUM(K697)</f>
        <v>1.82</v>
      </c>
    </row>
    <row r="699" spans="1:12" ht="4.5" customHeight="1">
      <c r="A699" s="224"/>
      <c r="B699" s="225"/>
      <c r="C699" s="225"/>
      <c r="D699" s="225"/>
      <c r="E699" s="225"/>
      <c r="F699" s="225"/>
      <c r="G699" s="225"/>
      <c r="H699" s="225"/>
      <c r="I699" s="225"/>
      <c r="J699" s="225"/>
      <c r="K699" s="226"/>
    </row>
    <row r="700" spans="1:12">
      <c r="A700" s="142" t="str">
        <f>'Planilha orç.'!A227</f>
        <v>10.3</v>
      </c>
      <c r="B700" s="81" t="str">
        <f>'Planilha orç.'!B227</f>
        <v>SINAPI</v>
      </c>
      <c r="C700" s="81" t="str">
        <f>'Planilha orç.'!C227</f>
        <v>99821</v>
      </c>
      <c r="D700" s="219" t="str">
        <f>'Planilha orç.'!D227</f>
        <v>LIMPEZA DE JANELA DE VIDRO COM CAIXILHO EM AÇO/ALUMÍNIO/PVC. AF_04/2019</v>
      </c>
      <c r="E700" s="220"/>
      <c r="F700" s="220"/>
      <c r="G700" s="220"/>
      <c r="H700" s="220"/>
      <c r="I700" s="220"/>
      <c r="J700" s="220"/>
      <c r="K700" s="143" t="str">
        <f>'Planilha orç.'!E227</f>
        <v>M2</v>
      </c>
    </row>
    <row r="701" spans="1:12">
      <c r="A701" s="142"/>
      <c r="B701" s="81"/>
      <c r="C701" s="81"/>
      <c r="D701" s="83" t="s">
        <v>734</v>
      </c>
      <c r="E701" s="73"/>
      <c r="F701" s="73"/>
      <c r="G701" s="73">
        <v>2</v>
      </c>
      <c r="H701" s="73"/>
      <c r="I701" s="87">
        <f>K220</f>
        <v>3.6</v>
      </c>
      <c r="J701" s="71" t="s">
        <v>83</v>
      </c>
      <c r="K701" s="143">
        <f>I701*2</f>
        <v>7.2</v>
      </c>
    </row>
    <row r="702" spans="1:12">
      <c r="A702" s="142"/>
      <c r="B702" s="81"/>
      <c r="C702" s="81"/>
      <c r="D702" s="83" t="s">
        <v>735</v>
      </c>
      <c r="E702" s="73"/>
      <c r="F702" s="73"/>
      <c r="G702" s="73">
        <v>2</v>
      </c>
      <c r="H702" s="73"/>
      <c r="I702" s="87">
        <f>K224</f>
        <v>0.96</v>
      </c>
      <c r="J702" s="71" t="s">
        <v>83</v>
      </c>
      <c r="K702" s="143">
        <f>I702*2</f>
        <v>1.92</v>
      </c>
    </row>
    <row r="703" spans="1:12">
      <c r="A703" s="142"/>
      <c r="B703" s="81"/>
      <c r="C703" s="81"/>
      <c r="D703" s="83"/>
      <c r="E703" s="73"/>
      <c r="F703" s="73"/>
      <c r="G703" s="73"/>
      <c r="H703" s="73"/>
      <c r="I703" s="73"/>
      <c r="J703" s="73"/>
      <c r="K703" s="144">
        <f>SUM(K701:K702)</f>
        <v>9.1199999999999992</v>
      </c>
    </row>
    <row r="704" spans="1:12" ht="25.5" customHeight="1">
      <c r="A704" s="142" t="str">
        <f>'Planilha orç.'!A228</f>
        <v>10.4</v>
      </c>
      <c r="B704" s="81" t="str">
        <f>'Planilha orç.'!B228</f>
        <v>SINAPI</v>
      </c>
      <c r="C704" s="81" t="str">
        <f>'Planilha orç.'!C228</f>
        <v>99804</v>
      </c>
      <c r="D704" s="219" t="str">
        <f>'Planilha orç.'!D228</f>
        <v>LIMPEZA DE PISO CERÂMICO OU PORCELANATO UTILIZANDO DETERGENTE NEUTRO E ESCOVAÇÃO MANUAL. AF_04/2019</v>
      </c>
      <c r="E704" s="220"/>
      <c r="F704" s="220"/>
      <c r="G704" s="220"/>
      <c r="H704" s="220"/>
      <c r="I704" s="220"/>
      <c r="J704" s="220"/>
      <c r="K704" s="143" t="str">
        <f>'Planilha orç.'!E228</f>
        <v>M2</v>
      </c>
    </row>
    <row r="705" spans="1:12">
      <c r="A705" s="142"/>
      <c r="B705" s="81"/>
      <c r="C705" s="81"/>
      <c r="D705" s="83" t="s">
        <v>739</v>
      </c>
      <c r="E705" s="73"/>
      <c r="F705" s="73"/>
      <c r="G705" s="73"/>
      <c r="H705" s="73"/>
      <c r="I705" s="73"/>
      <c r="J705" s="73"/>
      <c r="K705" s="144">
        <f>K392</f>
        <v>63.61</v>
      </c>
    </row>
    <row r="706" spans="1:12" ht="12.75" customHeight="1">
      <c r="A706" s="142" t="str">
        <f>'Planilha orç.'!A229</f>
        <v>10.5</v>
      </c>
      <c r="B706" s="81" t="str">
        <f>'Planilha orç.'!B229</f>
        <v>SINAPI</v>
      </c>
      <c r="C706" s="81" t="str">
        <f>'Planilha orç.'!C229</f>
        <v>99822</v>
      </c>
      <c r="D706" s="219" t="str">
        <f>'Planilha orç.'!D229</f>
        <v>LIMPEZA DE PORTA DE MADEIRA. AF_04/2019</v>
      </c>
      <c r="E706" s="220"/>
      <c r="F706" s="220"/>
      <c r="G706" s="220"/>
      <c r="H706" s="220"/>
      <c r="I706" s="220"/>
      <c r="J706" s="220"/>
      <c r="K706" s="143" t="str">
        <f>'Planilha orç.'!E229</f>
        <v>M2</v>
      </c>
    </row>
    <row r="707" spans="1:12" ht="12.75" customHeight="1">
      <c r="A707" s="142"/>
      <c r="B707" s="81"/>
      <c r="C707" s="81"/>
      <c r="D707" s="83" t="s">
        <v>738</v>
      </c>
      <c r="E707" s="73"/>
      <c r="F707" s="73"/>
      <c r="G707" s="73"/>
      <c r="H707" s="73"/>
      <c r="I707" s="73"/>
      <c r="J707" s="73"/>
      <c r="K707" s="144">
        <f>K378</f>
        <v>31.54</v>
      </c>
    </row>
    <row r="708" spans="1:12" ht="26.25" customHeight="1">
      <c r="A708" s="142" t="str">
        <f>'Planilha orç.'!A230</f>
        <v>10.6</v>
      </c>
      <c r="B708" s="81" t="str">
        <f>'Planilha orç.'!B230</f>
        <v>SINAPI</v>
      </c>
      <c r="C708" s="81" t="str">
        <f>'Planilha orç.'!C230</f>
        <v>99807</v>
      </c>
      <c r="D708" s="219" t="str">
        <f>'Planilha orç.'!D230</f>
        <v>LIMPEZA DE REVESTIMENTO CERÂMICO EM PAREDE UTILIZANDO DETERGENTE NEUTRO E ESCOVAÇÃO MANUAL. AF_04/2019</v>
      </c>
      <c r="E708" s="220"/>
      <c r="F708" s="220"/>
      <c r="G708" s="220"/>
      <c r="H708" s="220"/>
      <c r="I708" s="220"/>
      <c r="J708" s="220"/>
      <c r="K708" s="143" t="str">
        <f>'Planilha orç.'!E230</f>
        <v>M2</v>
      </c>
    </row>
    <row r="709" spans="1:12">
      <c r="A709" s="142"/>
      <c r="B709" s="81"/>
      <c r="C709" s="81"/>
      <c r="D709" s="83" t="s">
        <v>737</v>
      </c>
      <c r="E709" s="73"/>
      <c r="F709" s="73"/>
      <c r="G709" s="73"/>
      <c r="H709" s="73"/>
      <c r="I709" s="73"/>
      <c r="J709" s="73"/>
      <c r="K709" s="144">
        <f>K324</f>
        <v>55.37</v>
      </c>
    </row>
    <row r="710" spans="1:12" ht="4.5" customHeight="1">
      <c r="A710" s="224"/>
      <c r="B710" s="225"/>
      <c r="C710" s="225"/>
      <c r="D710" s="225"/>
      <c r="E710" s="225"/>
      <c r="F710" s="225"/>
      <c r="G710" s="225"/>
      <c r="H710" s="225"/>
      <c r="I710" s="225"/>
      <c r="J710" s="225"/>
      <c r="K710" s="226"/>
    </row>
    <row r="711" spans="1:12" ht="25.5" customHeight="1">
      <c r="A711" s="142" t="str">
        <f>'Planilha orç.'!A231</f>
        <v>10.7</v>
      </c>
      <c r="B711" s="78" t="str">
        <f>'Planilha orç.'!B231</f>
        <v>SINAPI</v>
      </c>
      <c r="C711" s="82" t="str">
        <f>'Planilha orç.'!C231</f>
        <v>99816</v>
      </c>
      <c r="D711" s="219" t="str">
        <f>'Planilha orç.'!D231</f>
        <v>LIMPEZA DE TANQUE OU LAVATÓRIO DE LOUÇA ISOLADO, INCLUSIVE METAIS CORRESPONDENTES. AF_04/2019</v>
      </c>
      <c r="E711" s="220"/>
      <c r="F711" s="220"/>
      <c r="G711" s="220"/>
      <c r="H711" s="220"/>
      <c r="I711" s="220"/>
      <c r="J711" s="220"/>
      <c r="K711" s="143" t="str">
        <f>'Planilha orç.'!E231</f>
        <v>UN</v>
      </c>
    </row>
    <row r="712" spans="1:12">
      <c r="A712" s="147"/>
      <c r="B712" s="78"/>
      <c r="C712" s="79"/>
      <c r="D712" s="84"/>
      <c r="E712" s="84"/>
      <c r="F712" s="84"/>
      <c r="G712" s="84"/>
      <c r="H712" s="84"/>
      <c r="I712" s="84"/>
      <c r="J712" s="84"/>
      <c r="K712" s="143">
        <v>2</v>
      </c>
      <c r="L712" s="137"/>
    </row>
    <row r="713" spans="1:12">
      <c r="A713" s="147"/>
      <c r="B713" s="78"/>
      <c r="C713" s="79"/>
      <c r="D713" s="84"/>
      <c r="E713" s="84"/>
      <c r="F713" s="84"/>
      <c r="G713" s="84"/>
      <c r="H713" s="84"/>
      <c r="I713" s="84"/>
      <c r="J713" s="84"/>
      <c r="K713" s="144">
        <f>SUM(K712:K712)</f>
        <v>2</v>
      </c>
    </row>
    <row r="714" spans="1:12" ht="5.25" customHeight="1">
      <c r="A714" s="224"/>
      <c r="B714" s="225"/>
      <c r="C714" s="225"/>
      <c r="D714" s="225"/>
      <c r="E714" s="225"/>
      <c r="F714" s="225"/>
      <c r="G714" s="225"/>
      <c r="H714" s="225"/>
      <c r="I714" s="225"/>
      <c r="J714" s="225"/>
      <c r="K714" s="226"/>
    </row>
    <row r="715" spans="1:12" ht="53.25" customHeight="1">
      <c r="A715" s="153"/>
      <c r="B715" s="53"/>
      <c r="C715" s="53"/>
      <c r="D715" s="53"/>
      <c r="E715" s="53"/>
      <c r="F715" s="53"/>
      <c r="G715" s="53"/>
      <c r="H715" s="53"/>
      <c r="I715" s="53"/>
      <c r="K715" s="112"/>
    </row>
    <row r="716" spans="1:12" ht="12.75" customHeight="1">
      <c r="A716" s="154"/>
      <c r="B716" s="183"/>
      <c r="C716" s="183"/>
      <c r="D716" s="183"/>
      <c r="E716" s="2"/>
      <c r="G716" s="184" t="s">
        <v>13</v>
      </c>
      <c r="H716" s="184"/>
      <c r="I716" s="184"/>
      <c r="K716" s="112"/>
    </row>
    <row r="717" spans="1:12" ht="15" customHeight="1">
      <c r="A717" s="155"/>
      <c r="B717" s="182" t="s">
        <v>86</v>
      </c>
      <c r="C717" s="182"/>
      <c r="D717" s="182"/>
      <c r="E717" s="2"/>
      <c r="G717" s="184" t="s">
        <v>28</v>
      </c>
      <c r="H717" s="184"/>
      <c r="I717" s="184"/>
      <c r="K717" s="112"/>
    </row>
    <row r="718" spans="1:12" ht="52.5" hidden="1" customHeight="1">
      <c r="A718" s="156"/>
      <c r="B718" s="186"/>
      <c r="C718" s="186"/>
      <c r="D718" s="186"/>
      <c r="E718" s="187"/>
      <c r="F718" s="187"/>
      <c r="G718" s="187"/>
      <c r="H718" s="187"/>
      <c r="K718" s="112"/>
    </row>
    <row r="719" spans="1:12" ht="15" hidden="1">
      <c r="A719" s="156"/>
      <c r="B719" s="182" t="s">
        <v>736</v>
      </c>
      <c r="C719" s="182"/>
      <c r="D719" s="182"/>
      <c r="E719" s="2"/>
      <c r="F719" s="2"/>
      <c r="G719" s="2"/>
      <c r="H719" s="2"/>
      <c r="K719" s="112"/>
    </row>
    <row r="720" spans="1:12" ht="12.75" customHeight="1">
      <c r="A720" s="157"/>
      <c r="B720" s="116"/>
      <c r="C720" s="116"/>
      <c r="D720" s="116"/>
      <c r="E720" s="116"/>
      <c r="F720" s="116"/>
      <c r="G720" s="116"/>
      <c r="H720" s="116"/>
      <c r="I720" s="116"/>
      <c r="J720" s="116"/>
      <c r="K720" s="117"/>
    </row>
  </sheetData>
  <mergeCells count="258">
    <mergeCell ref="D700:J700"/>
    <mergeCell ref="D704:J704"/>
    <mergeCell ref="A714:K714"/>
    <mergeCell ref="A694:K694"/>
    <mergeCell ref="D29:J29"/>
    <mergeCell ref="A298:K298"/>
    <mergeCell ref="D289:J289"/>
    <mergeCell ref="D299:J299"/>
    <mergeCell ref="A269:K269"/>
    <mergeCell ref="D346:J346"/>
    <mergeCell ref="D350:J350"/>
    <mergeCell ref="D354:J354"/>
    <mergeCell ref="D358:J358"/>
    <mergeCell ref="D711:J711"/>
    <mergeCell ref="A710:K710"/>
    <mergeCell ref="D270:J270"/>
    <mergeCell ref="D282:J282"/>
    <mergeCell ref="D706:J706"/>
    <mergeCell ref="D708:J708"/>
    <mergeCell ref="D691:J691"/>
    <mergeCell ref="B326:K326"/>
    <mergeCell ref="D695:J695"/>
    <mergeCell ref="A699:K699"/>
    <mergeCell ref="B256:K256"/>
    <mergeCell ref="A1:K1"/>
    <mergeCell ref="A2:K2"/>
    <mergeCell ref="A3:K3"/>
    <mergeCell ref="A5:G5"/>
    <mergeCell ref="A11:K11"/>
    <mergeCell ref="A6:K6"/>
    <mergeCell ref="A7:K7"/>
    <mergeCell ref="A8:K8"/>
    <mergeCell ref="A9:K9"/>
    <mergeCell ref="B10:C10"/>
    <mergeCell ref="D10:J10"/>
    <mergeCell ref="A4:K4"/>
    <mergeCell ref="H5:K5"/>
    <mergeCell ref="D306:J306"/>
    <mergeCell ref="D319:J319"/>
    <mergeCell ref="D93:J93"/>
    <mergeCell ref="D96:J96"/>
    <mergeCell ref="D100:J100"/>
    <mergeCell ref="D104:J104"/>
    <mergeCell ref="D139:J139"/>
    <mergeCell ref="D143:J143"/>
    <mergeCell ref="D147:J147"/>
    <mergeCell ref="D151:J151"/>
    <mergeCell ref="D227:J227"/>
    <mergeCell ref="D229:J229"/>
    <mergeCell ref="B318:K318"/>
    <mergeCell ref="B176:K176"/>
    <mergeCell ref="B177:K177"/>
    <mergeCell ref="B215:K215"/>
    <mergeCell ref="B226:K226"/>
    <mergeCell ref="B232:K232"/>
    <mergeCell ref="A130:K130"/>
    <mergeCell ref="A175:K175"/>
    <mergeCell ref="A214:K214"/>
    <mergeCell ref="A225:K225"/>
    <mergeCell ref="B12:K12"/>
    <mergeCell ref="D18:J18"/>
    <mergeCell ref="A20:K20"/>
    <mergeCell ref="A27:K27"/>
    <mergeCell ref="A16:K16"/>
    <mergeCell ref="B13:K13"/>
    <mergeCell ref="B17:K17"/>
    <mergeCell ref="D25:J25"/>
    <mergeCell ref="D14:J14"/>
    <mergeCell ref="D21:J21"/>
    <mergeCell ref="D74:J74"/>
    <mergeCell ref="D80:J80"/>
    <mergeCell ref="A24:K24"/>
    <mergeCell ref="B344:K344"/>
    <mergeCell ref="B362:K362"/>
    <mergeCell ref="D363:J363"/>
    <mergeCell ref="D405:J405"/>
    <mergeCell ref="D408:J408"/>
    <mergeCell ref="D198:J198"/>
    <mergeCell ref="D207:J207"/>
    <mergeCell ref="D216:J216"/>
    <mergeCell ref="D133:J133"/>
    <mergeCell ref="D136:J136"/>
    <mergeCell ref="D108:J108"/>
    <mergeCell ref="D111:J111"/>
    <mergeCell ref="D117:J117"/>
    <mergeCell ref="D60:J60"/>
    <mergeCell ref="D64:J64"/>
    <mergeCell ref="D68:J68"/>
    <mergeCell ref="A231:K231"/>
    <mergeCell ref="D221:J221"/>
    <mergeCell ref="B345:K345"/>
    <mergeCell ref="B28:K28"/>
    <mergeCell ref="A255:K255"/>
    <mergeCell ref="D333:J333"/>
    <mergeCell ref="D327:J327"/>
    <mergeCell ref="A35:K35"/>
    <mergeCell ref="A72:K72"/>
    <mergeCell ref="A115:K115"/>
    <mergeCell ref="D247:J247"/>
    <mergeCell ref="D251:J251"/>
    <mergeCell ref="D253:J253"/>
    <mergeCell ref="B73:K73"/>
    <mergeCell ref="B116:K116"/>
    <mergeCell ref="B131:K131"/>
    <mergeCell ref="B132:K132"/>
    <mergeCell ref="D36:J36"/>
    <mergeCell ref="D42:J42"/>
    <mergeCell ref="D48:J48"/>
    <mergeCell ref="D52:J52"/>
    <mergeCell ref="D56:J56"/>
    <mergeCell ref="D233:J233"/>
    <mergeCell ref="D237:J237"/>
    <mergeCell ref="D241:J241"/>
    <mergeCell ref="D155:J155"/>
    <mergeCell ref="D158:J158"/>
    <mergeCell ref="D178:J178"/>
    <mergeCell ref="D257:J257"/>
    <mergeCell ref="B719:D719"/>
    <mergeCell ref="B716:D716"/>
    <mergeCell ref="G716:I716"/>
    <mergeCell ref="B717:D717"/>
    <mergeCell ref="G717:I717"/>
    <mergeCell ref="B718:D718"/>
    <mergeCell ref="E718:F718"/>
    <mergeCell ref="G718:H718"/>
    <mergeCell ref="D338:J338"/>
    <mergeCell ref="B690:K690"/>
    <mergeCell ref="D491:J491"/>
    <mergeCell ref="D493:J493"/>
    <mergeCell ref="D495:J495"/>
    <mergeCell ref="D497:J497"/>
    <mergeCell ref="D499:J499"/>
    <mergeCell ref="D503:J503"/>
    <mergeCell ref="D506:J506"/>
    <mergeCell ref="D508:J508"/>
    <mergeCell ref="D460:J460"/>
    <mergeCell ref="D465:J465"/>
    <mergeCell ref="D471:J471"/>
    <mergeCell ref="D481:J481"/>
    <mergeCell ref="D489:J489"/>
    <mergeCell ref="D510:J510"/>
    <mergeCell ref="D426:J426"/>
    <mergeCell ref="D435:J435"/>
    <mergeCell ref="D442:J442"/>
    <mergeCell ref="D447:J447"/>
    <mergeCell ref="D454:J454"/>
    <mergeCell ref="D366:J366"/>
    <mergeCell ref="D370:J370"/>
    <mergeCell ref="D377:J377"/>
    <mergeCell ref="D381:J381"/>
    <mergeCell ref="D393:J393"/>
    <mergeCell ref="D420:J420"/>
    <mergeCell ref="D512:J512"/>
    <mergeCell ref="D514:J514"/>
    <mergeCell ref="D516:J516"/>
    <mergeCell ref="D518:J518"/>
    <mergeCell ref="D520:J520"/>
    <mergeCell ref="D522:J522"/>
    <mergeCell ref="D524:J524"/>
    <mergeCell ref="D526:J526"/>
    <mergeCell ref="D543:J543"/>
    <mergeCell ref="D545:J545"/>
    <mergeCell ref="D547:J547"/>
    <mergeCell ref="D555:J555"/>
    <mergeCell ref="D559:J559"/>
    <mergeCell ref="D561:J561"/>
    <mergeCell ref="D563:J563"/>
    <mergeCell ref="D528:J528"/>
    <mergeCell ref="D530:J530"/>
    <mergeCell ref="D533:J533"/>
    <mergeCell ref="D535:J535"/>
    <mergeCell ref="D537:J537"/>
    <mergeCell ref="D539:J539"/>
    <mergeCell ref="D541:J541"/>
    <mergeCell ref="D549:J549"/>
    <mergeCell ref="D551:J551"/>
    <mergeCell ref="D553:J553"/>
    <mergeCell ref="D581:J581"/>
    <mergeCell ref="D583:J583"/>
    <mergeCell ref="D585:J585"/>
    <mergeCell ref="D587:J587"/>
    <mergeCell ref="D589:J589"/>
    <mergeCell ref="D591:J591"/>
    <mergeCell ref="D593:J593"/>
    <mergeCell ref="D565:J565"/>
    <mergeCell ref="D567:J567"/>
    <mergeCell ref="D569:J569"/>
    <mergeCell ref="D571:J571"/>
    <mergeCell ref="D573:J573"/>
    <mergeCell ref="D575:J575"/>
    <mergeCell ref="D577:J577"/>
    <mergeCell ref="D579:J579"/>
    <mergeCell ref="D615:J615"/>
    <mergeCell ref="D617:J617"/>
    <mergeCell ref="D619:J619"/>
    <mergeCell ref="D621:J621"/>
    <mergeCell ref="D623:J623"/>
    <mergeCell ref="D641:J641"/>
    <mergeCell ref="D643:J643"/>
    <mergeCell ref="D625:J625"/>
    <mergeCell ref="D627:J627"/>
    <mergeCell ref="D629:J629"/>
    <mergeCell ref="D631:J631"/>
    <mergeCell ref="D633:J633"/>
    <mergeCell ref="D635:J635"/>
    <mergeCell ref="D637:J637"/>
    <mergeCell ref="D595:J595"/>
    <mergeCell ref="D597:J597"/>
    <mergeCell ref="D599:J599"/>
    <mergeCell ref="D603:J603"/>
    <mergeCell ref="D605:J605"/>
    <mergeCell ref="D607:J607"/>
    <mergeCell ref="D609:J609"/>
    <mergeCell ref="D611:J611"/>
    <mergeCell ref="D613:J613"/>
    <mergeCell ref="D601:J601"/>
    <mergeCell ref="D647:J647"/>
    <mergeCell ref="D649:J649"/>
    <mergeCell ref="D651:J651"/>
    <mergeCell ref="D653:J653"/>
    <mergeCell ref="D655:J655"/>
    <mergeCell ref="D657:J657"/>
    <mergeCell ref="D659:J659"/>
    <mergeCell ref="D661:J661"/>
    <mergeCell ref="D645:J645"/>
    <mergeCell ref="D665:J665"/>
    <mergeCell ref="D667:J667"/>
    <mergeCell ref="D669:J669"/>
    <mergeCell ref="D671:J671"/>
    <mergeCell ref="D673:J673"/>
    <mergeCell ref="D675:J675"/>
    <mergeCell ref="D677:J677"/>
    <mergeCell ref="B681:K681"/>
    <mergeCell ref="D679:J679"/>
    <mergeCell ref="D686:J686"/>
    <mergeCell ref="D688:J688"/>
    <mergeCell ref="D163:J163"/>
    <mergeCell ref="D167:J167"/>
    <mergeCell ref="D171:J171"/>
    <mergeCell ref="D187:J187"/>
    <mergeCell ref="B369:K369"/>
    <mergeCell ref="B379:K379"/>
    <mergeCell ref="B380:K380"/>
    <mergeCell ref="B453:K453"/>
    <mergeCell ref="B464:K464"/>
    <mergeCell ref="B486:K486"/>
    <mergeCell ref="B487:K487"/>
    <mergeCell ref="B488:K488"/>
    <mergeCell ref="B505:K505"/>
    <mergeCell ref="B532:K532"/>
    <mergeCell ref="B557:K557"/>
    <mergeCell ref="B558:K558"/>
    <mergeCell ref="B639:K639"/>
    <mergeCell ref="B640:K640"/>
    <mergeCell ref="D663:J663"/>
    <mergeCell ref="D682:J682"/>
    <mergeCell ref="D501:J501"/>
    <mergeCell ref="D684:J684"/>
  </mergeCells>
  <phoneticPr fontId="2" type="noConversion"/>
  <dataValidations disablePrompts="1" count="1">
    <dataValidation type="list" allowBlank="1" sqref="B19">
      <formula1>"SINAPI,SINAPI-I,SICRO,Composição,Cotação"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84" fitToHeight="0" orientation="portrait" horizontalDpi="300" verticalDpi="300" r:id="rId1"/>
  <headerFooter>
    <oddFooter>&amp;R&amp;P</oddFooter>
  </headerFooter>
  <rowBreaks count="11" manualBreakCount="11">
    <brk id="59" max="10" man="1"/>
    <brk id="115" max="10" man="1"/>
    <brk id="170" max="10" man="1"/>
    <brk id="288" max="10" man="1"/>
    <brk id="342" max="10" man="1"/>
    <brk id="407" max="10" man="1"/>
    <brk id="463" max="10" man="1"/>
    <brk id="511" max="10" man="1"/>
    <brk id="594" max="10" man="1"/>
    <brk id="638" max="10" man="1"/>
    <brk id="680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view="pageBreakPreview" zoomScaleSheetLayoutView="100" workbookViewId="0">
      <selection activeCell="G28" sqref="G28"/>
    </sheetView>
  </sheetViews>
  <sheetFormatPr defaultRowHeight="12.75"/>
  <cols>
    <col min="1" max="1" width="6.28515625" customWidth="1"/>
    <col min="4" max="4" width="34.28515625" customWidth="1"/>
    <col min="5" max="5" width="18.140625" customWidth="1"/>
    <col min="6" max="6" width="15.7109375" customWidth="1"/>
    <col min="7" max="10" width="20.7109375" customWidth="1"/>
  </cols>
  <sheetData>
    <row r="1" spans="1:10" ht="47.25" customHeight="1">
      <c r="A1" s="295" t="str">
        <f>'Planilha orç.'!A1</f>
        <v xml:space="preserve">MUNICIPIO DE JOÃO MONLEVADE - MG </v>
      </c>
      <c r="B1" s="296"/>
      <c r="C1" s="296"/>
      <c r="D1" s="296"/>
      <c r="E1" s="296"/>
      <c r="F1" s="296"/>
      <c r="G1" s="296"/>
      <c r="H1" s="296"/>
      <c r="I1" s="296"/>
      <c r="J1" s="32"/>
    </row>
    <row r="2" spans="1:10" ht="6" customHeight="1">
      <c r="A2" s="298"/>
      <c r="B2" s="298"/>
      <c r="C2" s="298"/>
      <c r="D2" s="298"/>
      <c r="E2" s="298"/>
      <c r="F2" s="298"/>
      <c r="G2" s="298"/>
      <c r="H2" s="298"/>
      <c r="I2" s="298"/>
      <c r="J2" s="298"/>
    </row>
    <row r="3" spans="1:10">
      <c r="A3" s="297" t="s">
        <v>29</v>
      </c>
      <c r="B3" s="297"/>
      <c r="C3" s="297"/>
      <c r="D3" s="297"/>
      <c r="E3" s="297"/>
      <c r="F3" s="297"/>
      <c r="G3" s="297"/>
      <c r="H3" s="297"/>
      <c r="I3" s="297"/>
      <c r="J3" s="297"/>
    </row>
    <row r="4" spans="1:10" ht="6.6" customHeight="1">
      <c r="A4" s="298"/>
      <c r="B4" s="298"/>
      <c r="C4" s="298"/>
      <c r="D4" s="298"/>
      <c r="E4" s="298"/>
      <c r="F4" s="298"/>
      <c r="G4" s="298"/>
      <c r="H4" s="298"/>
      <c r="I4" s="298"/>
      <c r="J4" s="298"/>
    </row>
    <row r="5" spans="1:10" ht="13.5" customHeight="1">
      <c r="A5" s="299" t="str">
        <f>'Planilha orç.'!A6</f>
        <v>SOLICITANTE: MUNICÍPIO DE JOÃO MONLEVADE - MG</v>
      </c>
      <c r="B5" s="299"/>
      <c r="C5" s="299"/>
      <c r="D5" s="299"/>
      <c r="E5" s="299"/>
      <c r="F5" s="299"/>
      <c r="G5" s="289" t="s">
        <v>1</v>
      </c>
      <c r="H5" s="289"/>
      <c r="I5" s="289"/>
      <c r="J5" s="289"/>
    </row>
    <row r="6" spans="1:10">
      <c r="A6" s="300" t="str">
        <f>'Planilha orç.'!A5</f>
        <v xml:space="preserve">OBRA: OBRAS DE CONSTRUÇÃO DE HABITAÇÃO DE INTERESSE SOCIAL </v>
      </c>
      <c r="B6" s="300"/>
      <c r="C6" s="300"/>
      <c r="D6" s="300"/>
      <c r="E6" s="300"/>
      <c r="F6" s="300"/>
      <c r="G6" s="289" t="str">
        <f>'Planilha orç.'!G7</f>
        <v>DATA: 24/11/2025</v>
      </c>
      <c r="H6" s="289"/>
      <c r="I6" s="289"/>
      <c r="J6" s="289"/>
    </row>
    <row r="7" spans="1:10" ht="26.25" customHeight="1">
      <c r="A7" s="287" t="str">
        <f>'Planilha orç.'!A7</f>
        <v>LOCAL: RUA ITAOBIM, S/N, BAIRRO MIRANTE DAS ÁGUAS</v>
      </c>
      <c r="B7" s="287"/>
      <c r="C7" s="287"/>
      <c r="D7" s="287"/>
      <c r="E7" s="19" t="s">
        <v>2</v>
      </c>
      <c r="F7" s="20">
        <v>0.05</v>
      </c>
      <c r="G7" s="289" t="s">
        <v>3</v>
      </c>
      <c r="H7" s="289"/>
      <c r="I7" s="289"/>
      <c r="J7" s="289"/>
    </row>
    <row r="8" spans="1:10" ht="32.25" customHeight="1">
      <c r="A8" s="288" t="str">
        <f>'Planilha orç.'!A8</f>
        <v>REFERÊNCIA:  SICOR MG 07/2025 - SINAPI 08/2025 NÃO DESONERADA</v>
      </c>
      <c r="B8" s="288"/>
      <c r="C8" s="288"/>
      <c r="D8" s="288"/>
      <c r="E8" s="289" t="s">
        <v>4</v>
      </c>
      <c r="F8" s="290" t="s">
        <v>5</v>
      </c>
      <c r="G8" s="289" t="s">
        <v>6</v>
      </c>
      <c r="H8" s="289"/>
      <c r="I8" s="289"/>
      <c r="J8" s="289"/>
    </row>
    <row r="9" spans="1:10">
      <c r="A9" s="290" t="str">
        <f>'Planilha orç.'!A10</f>
        <v>PRAZO DE EXECUÇÃO: 4 MESES</v>
      </c>
      <c r="B9" s="290"/>
      <c r="C9" s="290"/>
      <c r="D9" s="290"/>
      <c r="E9" s="289"/>
      <c r="F9" s="290"/>
      <c r="G9" s="19" t="s">
        <v>7</v>
      </c>
      <c r="H9" s="19"/>
      <c r="I9" s="301">
        <v>0.24229999999999999</v>
      </c>
      <c r="J9" s="301"/>
    </row>
    <row r="10" spans="1:10" ht="13.15" customHeight="1">
      <c r="A10" s="271" t="s">
        <v>14</v>
      </c>
      <c r="B10" s="271" t="s">
        <v>17</v>
      </c>
      <c r="C10" s="271"/>
      <c r="D10" s="271"/>
      <c r="E10" s="294" t="s">
        <v>30</v>
      </c>
      <c r="F10" s="270" t="s">
        <v>31</v>
      </c>
      <c r="G10" s="23">
        <v>1</v>
      </c>
      <c r="H10" s="23">
        <v>2</v>
      </c>
      <c r="I10" s="23">
        <v>3</v>
      </c>
      <c r="J10" s="23">
        <v>4</v>
      </c>
    </row>
    <row r="11" spans="1:10">
      <c r="A11" s="271"/>
      <c r="B11" s="271"/>
      <c r="C11" s="271"/>
      <c r="D11" s="271"/>
      <c r="E11" s="294"/>
      <c r="F11" s="270"/>
      <c r="G11" s="24">
        <v>45809</v>
      </c>
      <c r="H11" s="24">
        <v>45840</v>
      </c>
      <c r="I11" s="24">
        <v>45872</v>
      </c>
      <c r="J11" s="24">
        <v>45904</v>
      </c>
    </row>
    <row r="12" spans="1:10">
      <c r="A12" s="25"/>
      <c r="B12" s="291" t="str">
        <f>'Planilha orç.'!D12</f>
        <v>OBRA DE EXECUÇÃO DE HABITAÇÃO SOCIAL - ÁREA = 70M²</v>
      </c>
      <c r="C12" s="292"/>
      <c r="D12" s="293"/>
      <c r="E12" s="50">
        <f>SUM(E14:E32)</f>
        <v>216008.5</v>
      </c>
      <c r="F12" s="26" t="s">
        <v>32</v>
      </c>
      <c r="G12" s="133">
        <f>G35</f>
        <v>0.25309999999999999</v>
      </c>
      <c r="H12" s="133">
        <f t="shared" ref="H12:J12" si="0">H35</f>
        <v>0.39779999999999999</v>
      </c>
      <c r="I12" s="133">
        <f t="shared" si="0"/>
        <v>0.25979999999999998</v>
      </c>
      <c r="J12" s="133">
        <f t="shared" si="0"/>
        <v>8.9399999999999993E-2</v>
      </c>
    </row>
    <row r="13" spans="1:10" hidden="1">
      <c r="A13" s="27"/>
      <c r="B13" s="49" t="s">
        <v>33</v>
      </c>
      <c r="C13" s="49"/>
      <c r="D13" s="49"/>
      <c r="E13" s="51"/>
      <c r="F13" s="26"/>
      <c r="G13" s="134"/>
      <c r="H13" s="134"/>
      <c r="I13" s="134"/>
      <c r="J13" s="134"/>
    </row>
    <row r="14" spans="1:10">
      <c r="A14" s="25">
        <f>'Planilha orç.'!A13</f>
        <v>1</v>
      </c>
      <c r="B14" s="267" t="str">
        <f>'Planilha orç.'!D13</f>
        <v>ADMINISTRAÇÃO LOCAL</v>
      </c>
      <c r="C14" s="268"/>
      <c r="D14" s="269"/>
      <c r="E14" s="50">
        <f>'Planilha orç.'!J13</f>
        <v>11079.92</v>
      </c>
      <c r="F14" s="26" t="s">
        <v>32</v>
      </c>
      <c r="G14" s="136">
        <v>0.25</v>
      </c>
      <c r="H14" s="136">
        <v>0.25</v>
      </c>
      <c r="I14" s="136">
        <v>0.25</v>
      </c>
      <c r="J14" s="136">
        <v>0.25</v>
      </c>
    </row>
    <row r="15" spans="1:10">
      <c r="A15" s="264"/>
      <c r="B15" s="265"/>
      <c r="C15" s="265"/>
      <c r="D15" s="266"/>
      <c r="E15" s="50"/>
      <c r="F15" s="26" t="s">
        <v>740</v>
      </c>
      <c r="G15" s="135">
        <f>$E$14*G14</f>
        <v>2769.98</v>
      </c>
      <c r="H15" s="135">
        <f t="shared" ref="H15:J15" si="1">$E$14*H14</f>
        <v>2769.98</v>
      </c>
      <c r="I15" s="135">
        <f t="shared" si="1"/>
        <v>2769.98</v>
      </c>
      <c r="J15" s="135">
        <f t="shared" si="1"/>
        <v>2769.98</v>
      </c>
    </row>
    <row r="16" spans="1:10">
      <c r="A16" s="25">
        <f>'Planilha orç.'!A15</f>
        <v>2</v>
      </c>
      <c r="B16" s="267" t="str">
        <f>'Planilha orç.'!D15</f>
        <v>SERVIÇOS PRELIMINARES</v>
      </c>
      <c r="C16" s="268"/>
      <c r="D16" s="269"/>
      <c r="E16" s="50">
        <f>'Planilha orç.'!J15</f>
        <v>9312.56</v>
      </c>
      <c r="F16" s="26" t="s">
        <v>32</v>
      </c>
      <c r="G16" s="136">
        <v>0.44500000000000001</v>
      </c>
      <c r="H16" s="136">
        <v>0.185</v>
      </c>
      <c r="I16" s="136">
        <v>0.185</v>
      </c>
      <c r="J16" s="136">
        <v>0.185</v>
      </c>
    </row>
    <row r="17" spans="1:10">
      <c r="A17" s="264"/>
      <c r="B17" s="265"/>
      <c r="C17" s="265"/>
      <c r="D17" s="266"/>
      <c r="E17" s="50"/>
      <c r="F17" s="26" t="s">
        <v>740</v>
      </c>
      <c r="G17" s="135">
        <f>ROUNDDOWN($E$16*G16,2)</f>
        <v>4144.08</v>
      </c>
      <c r="H17" s="135">
        <f t="shared" ref="H17:J17" si="2">$E$16*H16</f>
        <v>1722.82</v>
      </c>
      <c r="I17" s="135">
        <f t="shared" si="2"/>
        <v>1722.82</v>
      </c>
      <c r="J17" s="135">
        <f t="shared" si="2"/>
        <v>1722.82</v>
      </c>
    </row>
    <row r="18" spans="1:10">
      <c r="A18" s="25">
        <f>'Planilha orç.'!A19</f>
        <v>3</v>
      </c>
      <c r="B18" s="267" t="str">
        <f>'Planilha orç.'!D19</f>
        <v>FUNDAÇÕES</v>
      </c>
      <c r="C18" s="268"/>
      <c r="D18" s="269"/>
      <c r="E18" s="50">
        <f>'Planilha orç.'!J19</f>
        <v>30301.56</v>
      </c>
      <c r="F18" s="26" t="s">
        <v>32</v>
      </c>
      <c r="G18" s="136">
        <v>1</v>
      </c>
      <c r="H18" s="133"/>
      <c r="I18" s="133"/>
      <c r="J18" s="133"/>
    </row>
    <row r="19" spans="1:10">
      <c r="A19" s="264"/>
      <c r="B19" s="265"/>
      <c r="C19" s="265"/>
      <c r="D19" s="266"/>
      <c r="E19" s="50"/>
      <c r="F19" s="26" t="s">
        <v>740</v>
      </c>
      <c r="G19" s="135">
        <f>ROUND($E$18*G18,2)</f>
        <v>30301.56</v>
      </c>
      <c r="H19" s="133"/>
      <c r="I19" s="133"/>
      <c r="J19" s="133"/>
    </row>
    <row r="20" spans="1:10">
      <c r="A20" s="25">
        <f>'Planilha orç.'!A41</f>
        <v>4</v>
      </c>
      <c r="B20" s="267" t="str">
        <f>'Planilha orç.'!D41</f>
        <v>SUPERESTRUTURA</v>
      </c>
      <c r="C20" s="268"/>
      <c r="D20" s="269"/>
      <c r="E20" s="50">
        <f>'Planilha orç.'!J41</f>
        <v>34056.01</v>
      </c>
      <c r="F20" s="26" t="s">
        <v>32</v>
      </c>
      <c r="G20" s="136">
        <v>0.4</v>
      </c>
      <c r="H20" s="136">
        <v>0.6</v>
      </c>
      <c r="I20" s="133"/>
      <c r="J20" s="133"/>
    </row>
    <row r="21" spans="1:10">
      <c r="A21" s="264"/>
      <c r="B21" s="265"/>
      <c r="C21" s="265"/>
      <c r="D21" s="266"/>
      <c r="E21" s="50"/>
      <c r="F21" s="26" t="s">
        <v>740</v>
      </c>
      <c r="G21" s="175">
        <f>$E$20*G20</f>
        <v>13622.4</v>
      </c>
      <c r="H21" s="175">
        <f>ROUND($E$20*H20,2)</f>
        <v>20433.61</v>
      </c>
      <c r="I21" s="133"/>
      <c r="J21" s="133"/>
    </row>
    <row r="22" spans="1:10">
      <c r="A22" s="25">
        <f>'Planilha orç.'!A54</f>
        <v>5</v>
      </c>
      <c r="B22" s="267" t="str">
        <f>'Planilha orç.'!D54</f>
        <v>PAREDES E PAINÉIS</v>
      </c>
      <c r="C22" s="268"/>
      <c r="D22" s="269"/>
      <c r="E22" s="50">
        <f>'Planilha orç.'!J54</f>
        <v>25500.91</v>
      </c>
      <c r="F22" s="26" t="s">
        <v>32</v>
      </c>
      <c r="G22" s="136">
        <v>0.15</v>
      </c>
      <c r="H22" s="136">
        <v>0.65</v>
      </c>
      <c r="I22" s="136">
        <v>0.2</v>
      </c>
      <c r="J22" s="133"/>
    </row>
    <row r="23" spans="1:10">
      <c r="A23" s="264"/>
      <c r="B23" s="265"/>
      <c r="C23" s="265"/>
      <c r="D23" s="266"/>
      <c r="E23" s="50"/>
      <c r="F23" s="26" t="s">
        <v>740</v>
      </c>
      <c r="G23" s="135">
        <f>ROUND($E$22*G22,2)</f>
        <v>3825.14</v>
      </c>
      <c r="H23" s="135">
        <f t="shared" ref="H23:I23" si="3">ROUND($E$22*H22,2)</f>
        <v>16575.59</v>
      </c>
      <c r="I23" s="135">
        <f t="shared" si="3"/>
        <v>5100.18</v>
      </c>
      <c r="J23" s="133"/>
    </row>
    <row r="24" spans="1:10">
      <c r="A24" s="25">
        <f>'Planilha orç.'!A66</f>
        <v>6</v>
      </c>
      <c r="B24" s="267" t="str">
        <f>'Planilha orç.'!D66</f>
        <v>COBERTURA E PROTEÇÕES</v>
      </c>
      <c r="C24" s="268"/>
      <c r="D24" s="269"/>
      <c r="E24" s="50">
        <f>'Planilha orç.'!J66</f>
        <v>31262.98</v>
      </c>
      <c r="F24" s="26" t="s">
        <v>32</v>
      </c>
      <c r="G24" s="133"/>
      <c r="H24" s="136">
        <v>0.7</v>
      </c>
      <c r="I24" s="136">
        <v>0.3</v>
      </c>
      <c r="J24" s="133"/>
    </row>
    <row r="25" spans="1:10">
      <c r="A25" s="264"/>
      <c r="B25" s="265"/>
      <c r="C25" s="265"/>
      <c r="D25" s="266"/>
      <c r="E25" s="50"/>
      <c r="F25" s="26" t="s">
        <v>740</v>
      </c>
      <c r="G25" s="133"/>
      <c r="H25" s="135">
        <f>ROUND($E$24*H24,2)</f>
        <v>21884.09</v>
      </c>
      <c r="I25" s="135">
        <f>ROUND($E$24*I24,2)</f>
        <v>9378.89</v>
      </c>
      <c r="J25" s="133"/>
    </row>
    <row r="26" spans="1:10">
      <c r="A26" s="25">
        <f>'Planilha orç.'!A73</f>
        <v>7</v>
      </c>
      <c r="B26" s="267" t="str">
        <f>'Planilha orç.'!D73</f>
        <v>REVESTIMENTOS</v>
      </c>
      <c r="C26" s="268"/>
      <c r="D26" s="269"/>
      <c r="E26" s="50">
        <f>'Planilha orç.'!J73</f>
        <v>32222.49</v>
      </c>
      <c r="F26" s="26" t="s">
        <v>32</v>
      </c>
      <c r="G26" s="133"/>
      <c r="H26" s="136">
        <v>0.4</v>
      </c>
      <c r="I26" s="136">
        <v>0.5</v>
      </c>
      <c r="J26" s="136">
        <v>0.1</v>
      </c>
    </row>
    <row r="27" spans="1:10">
      <c r="A27" s="264"/>
      <c r="B27" s="265"/>
      <c r="C27" s="265"/>
      <c r="D27" s="266"/>
      <c r="E27" s="50"/>
      <c r="F27" s="26" t="s">
        <v>740</v>
      </c>
      <c r="G27" s="133"/>
      <c r="H27" s="135">
        <f t="shared" ref="H27:I27" si="4">$E$26*H26</f>
        <v>12889</v>
      </c>
      <c r="I27" s="135">
        <f t="shared" si="4"/>
        <v>16111.25</v>
      </c>
      <c r="J27" s="135">
        <f t="shared" ref="J27" si="5">$E$26*J26</f>
        <v>3222.25</v>
      </c>
    </row>
    <row r="28" spans="1:10">
      <c r="A28" s="25">
        <f>'Planilha orç.'!A99</f>
        <v>8</v>
      </c>
      <c r="B28" s="267" t="str">
        <f>'Planilha orç.'!D99</f>
        <v>PAVIMENTAÇÕES</v>
      </c>
      <c r="C28" s="268"/>
      <c r="D28" s="269"/>
      <c r="E28" s="50">
        <f>'Planilha orç.'!J99</f>
        <v>14716.58</v>
      </c>
      <c r="F28" s="26" t="s">
        <v>32</v>
      </c>
      <c r="G28" s="133"/>
      <c r="H28" s="136">
        <v>0.2</v>
      </c>
      <c r="I28" s="136">
        <v>0.7</v>
      </c>
      <c r="J28" s="136">
        <v>0.1</v>
      </c>
    </row>
    <row r="29" spans="1:10">
      <c r="A29" s="264"/>
      <c r="B29" s="265"/>
      <c r="C29" s="265"/>
      <c r="D29" s="266"/>
      <c r="E29" s="50"/>
      <c r="F29" s="26" t="s">
        <v>740</v>
      </c>
      <c r="G29" s="133"/>
      <c r="H29" s="135">
        <f t="shared" ref="H29:J29" si="6">$E$28*H28</f>
        <v>2943.32</v>
      </c>
      <c r="I29" s="135">
        <f t="shared" si="6"/>
        <v>10301.61</v>
      </c>
      <c r="J29" s="135">
        <f t="shared" si="6"/>
        <v>1471.66</v>
      </c>
    </row>
    <row r="30" spans="1:10">
      <c r="A30" s="25">
        <f>'Planilha orç.'!A117</f>
        <v>9</v>
      </c>
      <c r="B30" s="267" t="str">
        <f>'Planilha orç.'!D117</f>
        <v>INSTALAÇÕES</v>
      </c>
      <c r="C30" s="268"/>
      <c r="D30" s="269"/>
      <c r="E30" s="50">
        <f>'Planilha orç.'!J117</f>
        <v>26824.560000000001</v>
      </c>
      <c r="F30" s="26" t="s">
        <v>32</v>
      </c>
      <c r="G30" s="133"/>
      <c r="H30" s="136">
        <v>0.25</v>
      </c>
      <c r="I30" s="136">
        <v>0.4</v>
      </c>
      <c r="J30" s="136">
        <v>0.35</v>
      </c>
    </row>
    <row r="31" spans="1:10">
      <c r="A31" s="264"/>
      <c r="B31" s="265"/>
      <c r="C31" s="265"/>
      <c r="D31" s="266"/>
      <c r="E31" s="50"/>
      <c r="F31" s="26" t="s">
        <v>740</v>
      </c>
      <c r="G31" s="133"/>
      <c r="H31" s="135">
        <f t="shared" ref="H31:J31" si="7">$E$30*H30</f>
        <v>6706.14</v>
      </c>
      <c r="I31" s="135">
        <f t="shared" si="7"/>
        <v>10729.82</v>
      </c>
      <c r="J31" s="135">
        <f t="shared" si="7"/>
        <v>9388.6</v>
      </c>
    </row>
    <row r="32" spans="1:10">
      <c r="A32" s="25">
        <f>'Planilha orç.'!A224</f>
        <v>10</v>
      </c>
      <c r="B32" s="267" t="str">
        <f>'Planilha orç.'!D224</f>
        <v>LIMPEZA</v>
      </c>
      <c r="C32" s="268"/>
      <c r="D32" s="269"/>
      <c r="E32" s="50">
        <f>'Planilha orç.'!J224</f>
        <v>730.93</v>
      </c>
      <c r="F32" s="26" t="s">
        <v>32</v>
      </c>
      <c r="G32" s="133"/>
      <c r="H32" s="133"/>
      <c r="I32" s="133"/>
      <c r="J32" s="136">
        <v>1</v>
      </c>
    </row>
    <row r="33" spans="1:10">
      <c r="A33" s="264"/>
      <c r="B33" s="265"/>
      <c r="C33" s="265"/>
      <c r="D33" s="266"/>
      <c r="E33" s="50"/>
      <c r="F33" s="26" t="s">
        <v>740</v>
      </c>
      <c r="G33" s="135"/>
      <c r="H33" s="135"/>
      <c r="I33" s="135"/>
      <c r="J33" s="135">
        <f t="shared" ref="J33" si="8">$E$32*J32</f>
        <v>730.93</v>
      </c>
    </row>
    <row r="34" spans="1:10" ht="8.4499999999999993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</row>
    <row r="35" spans="1:10" ht="13.15" customHeight="1">
      <c r="A35" s="275" t="s">
        <v>34</v>
      </c>
      <c r="B35" s="276"/>
      <c r="C35" s="277"/>
      <c r="D35" s="284">
        <f>J38</f>
        <v>216008.5</v>
      </c>
      <c r="E35" s="42"/>
      <c r="F35" s="43" t="s">
        <v>35</v>
      </c>
      <c r="G35" s="44">
        <f>G36/E12</f>
        <v>0.25309999999999999</v>
      </c>
      <c r="H35" s="44">
        <f>H36/E12</f>
        <v>0.39779999999999999</v>
      </c>
      <c r="I35" s="44">
        <f>I36/E12</f>
        <v>0.25979999999999998</v>
      </c>
      <c r="J35" s="44">
        <f>J36/E12</f>
        <v>8.9399999999999993E-2</v>
      </c>
    </row>
    <row r="36" spans="1:10">
      <c r="A36" s="278"/>
      <c r="B36" s="279"/>
      <c r="C36" s="280"/>
      <c r="D36" s="285"/>
      <c r="E36" s="45"/>
      <c r="F36" s="46" t="s">
        <v>36</v>
      </c>
      <c r="G36" s="47">
        <f>SUM(G15,G19,G17,G25,G21,G23,G27,G29,G31,G33)</f>
        <v>54663.16</v>
      </c>
      <c r="H36" s="47">
        <f>SUM(H15,H19,H17,H25,H21,H23,H27,H29,H31,H33)</f>
        <v>85924.55</v>
      </c>
      <c r="I36" s="47">
        <f>SUM(I15,I19,I17,I25,I21,I23,I27,I29,I31,I33)</f>
        <v>56114.55</v>
      </c>
      <c r="J36" s="47">
        <f>SUM(J15,J19,J17,J25,J21,J23,J27,J29,J31,J33)</f>
        <v>19306.240000000002</v>
      </c>
    </row>
    <row r="37" spans="1:10">
      <c r="A37" s="278"/>
      <c r="B37" s="279"/>
      <c r="C37" s="280"/>
      <c r="D37" s="285"/>
      <c r="E37" s="42"/>
      <c r="F37" s="43" t="s">
        <v>35</v>
      </c>
      <c r="G37" s="44">
        <f>G35</f>
        <v>0.25309999999999999</v>
      </c>
      <c r="H37" s="44">
        <f t="shared" ref="H37:J38" si="9">G37+H35</f>
        <v>0.65090000000000003</v>
      </c>
      <c r="I37" s="44">
        <f t="shared" si="9"/>
        <v>0.91069999999999995</v>
      </c>
      <c r="J37" s="44">
        <f t="shared" si="9"/>
        <v>1.0001</v>
      </c>
    </row>
    <row r="38" spans="1:10" ht="15.75">
      <c r="A38" s="281"/>
      <c r="B38" s="282"/>
      <c r="C38" s="283"/>
      <c r="D38" s="286"/>
      <c r="E38" s="45"/>
      <c r="F38" s="46" t="s">
        <v>36</v>
      </c>
      <c r="G38" s="48">
        <f>SUM(G15,G17,G19,G21,G23)</f>
        <v>54663.16</v>
      </c>
      <c r="H38" s="48">
        <f t="shared" si="9"/>
        <v>140587.71</v>
      </c>
      <c r="I38" s="48">
        <f t="shared" si="9"/>
        <v>196702.26</v>
      </c>
      <c r="J38" s="48">
        <f t="shared" si="9"/>
        <v>216008.5</v>
      </c>
    </row>
    <row r="39" spans="1:10" ht="13.5">
      <c r="A39" s="62"/>
      <c r="B39" s="29"/>
      <c r="C39" s="30"/>
      <c r="D39" s="30"/>
      <c r="E39" s="30"/>
      <c r="F39" s="30"/>
      <c r="G39" s="30"/>
      <c r="H39" s="31"/>
      <c r="I39" s="30"/>
      <c r="J39" s="63"/>
    </row>
    <row r="40" spans="1:10" ht="61.5" customHeight="1">
      <c r="A40" s="61"/>
      <c r="B40" s="274"/>
      <c r="C40" s="274"/>
      <c r="D40" s="274"/>
      <c r="E40" s="274"/>
      <c r="F40" s="274"/>
      <c r="G40" s="274"/>
      <c r="H40" s="274"/>
      <c r="I40" s="274"/>
      <c r="J40" s="63"/>
    </row>
    <row r="41" spans="1:10" ht="14.45" customHeight="1">
      <c r="A41" s="64"/>
      <c r="B41" s="272" t="s">
        <v>86</v>
      </c>
      <c r="C41" s="272"/>
      <c r="D41" s="272"/>
      <c r="E41" s="272"/>
      <c r="F41" s="272"/>
      <c r="G41" s="272"/>
      <c r="H41" s="272"/>
      <c r="I41" s="272"/>
      <c r="J41" s="63"/>
    </row>
    <row r="42" spans="1:10" ht="16.5" customHeight="1">
      <c r="A42" s="64"/>
      <c r="B42" s="273" t="s">
        <v>877</v>
      </c>
      <c r="C42" s="273"/>
      <c r="D42" s="273"/>
      <c r="E42" s="273"/>
      <c r="F42" s="273"/>
      <c r="G42" s="273"/>
      <c r="H42" s="273"/>
      <c r="I42" s="273"/>
      <c r="J42" s="63"/>
    </row>
    <row r="43" spans="1:10" ht="7.9" customHeight="1">
      <c r="A43" s="65"/>
      <c r="B43" s="66"/>
      <c r="C43" s="66"/>
      <c r="D43" s="66"/>
      <c r="E43" s="66"/>
      <c r="F43" s="66"/>
      <c r="G43" s="66"/>
      <c r="H43" s="67"/>
      <c r="I43" s="66"/>
      <c r="J43" s="68"/>
    </row>
  </sheetData>
  <mergeCells count="46">
    <mergeCell ref="A1:I1"/>
    <mergeCell ref="A23:D23"/>
    <mergeCell ref="A25:D25"/>
    <mergeCell ref="A27:D27"/>
    <mergeCell ref="A29:D29"/>
    <mergeCell ref="A3:J3"/>
    <mergeCell ref="A4:J4"/>
    <mergeCell ref="A5:F5"/>
    <mergeCell ref="G5:J5"/>
    <mergeCell ref="G6:J6"/>
    <mergeCell ref="A2:J2"/>
    <mergeCell ref="A6:F6"/>
    <mergeCell ref="G7:J7"/>
    <mergeCell ref="G8:J8"/>
    <mergeCell ref="I9:J9"/>
    <mergeCell ref="F8:F9"/>
    <mergeCell ref="A7:D7"/>
    <mergeCell ref="A8:D8"/>
    <mergeCell ref="E8:E9"/>
    <mergeCell ref="A9:D9"/>
    <mergeCell ref="B12:D12"/>
    <mergeCell ref="A10:A11"/>
    <mergeCell ref="E10:E11"/>
    <mergeCell ref="B41:I41"/>
    <mergeCell ref="B32:D32"/>
    <mergeCell ref="A33:D33"/>
    <mergeCell ref="B42:I42"/>
    <mergeCell ref="B40:I40"/>
    <mergeCell ref="A35:C38"/>
    <mergeCell ref="D35:D38"/>
    <mergeCell ref="A31:D31"/>
    <mergeCell ref="B16:D16"/>
    <mergeCell ref="B14:D14"/>
    <mergeCell ref="F10:F11"/>
    <mergeCell ref="B10:D11"/>
    <mergeCell ref="B18:D18"/>
    <mergeCell ref="B20:D20"/>
    <mergeCell ref="B28:D28"/>
    <mergeCell ref="B22:D22"/>
    <mergeCell ref="B24:D24"/>
    <mergeCell ref="A15:D15"/>
    <mergeCell ref="A17:D17"/>
    <mergeCell ref="A19:D19"/>
    <mergeCell ref="A21:D21"/>
    <mergeCell ref="B30:D30"/>
    <mergeCell ref="B26:D26"/>
  </mergeCells>
  <conditionalFormatting sqref="H37:J37">
    <cfRule type="expression" dxfId="4" priority="1" stopIfTrue="1">
      <formula>OFFSET(H$42,0,-1)&gt;=1</formula>
    </cfRule>
  </conditionalFormatting>
  <dataValidations count="4">
    <dataValidation type="date" operator="greaterThan" allowBlank="1" showInputMessage="1" showErrorMessage="1" errorTitle="Erro" error="Digite somente datas." sqref="G11:J11">
      <formula1>36526</formula1>
    </dataValidation>
    <dataValidation type="decimal" allowBlank="1" showErrorMessage="1" error="Porcentagem Acumulada &gt; 100%." sqref="G13:I13">
      <formula1>0</formula1>
      <formula2>CRONO.MaxParc</formula2>
    </dataValidation>
    <dataValidation type="whole" operator="greaterThan" allowBlank="1" showErrorMessage="1" sqref="G10">
      <formula1>0</formula1>
      <formula2>0</formula2>
    </dataValidation>
    <dataValidation allowBlank="1" showInputMessage="1" showErrorMessage="1" prompt="Preencha na célula de baixo. Se o acompanhamento for PLE, preencha no botão PREENCHIMENTO POR EVENTOS, acima." sqref="J26:J27 H15:J15 H14:I14 G30:G33 H33:J33 G29:J29 H30:I32 G14:G28 H16:I16 H17:J17 G12:J12 J30:J31 H18:I28"/>
  </dataValidations>
  <pageMargins left="0.511811024" right="0.511811024" top="0.78740157499999996" bottom="0.78740157499999996" header="0.31496062000000002" footer="0.31496062000000002"/>
  <pageSetup paperSize="9" scale="76" fitToWidth="0" orientation="landscape" r:id="rId1"/>
  <colBreaks count="1" manualBreakCount="1">
    <brk id="10" max="3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4"/>
  <sheetViews>
    <sheetView view="pageBreakPreview" zoomScale="110" zoomScaleSheetLayoutView="110" workbookViewId="0">
      <selection activeCell="G19" sqref="G19"/>
    </sheetView>
  </sheetViews>
  <sheetFormatPr defaultRowHeight="12.75"/>
  <cols>
    <col min="1" max="1" width="11.140625" customWidth="1"/>
    <col min="3" max="3" width="44.28515625" customWidth="1"/>
    <col min="6" max="6" width="9.85546875" bestFit="1" customWidth="1"/>
    <col min="7" max="7" width="15.5703125" bestFit="1" customWidth="1"/>
    <col min="8" max="10" width="0" hidden="1" customWidth="1"/>
  </cols>
  <sheetData>
    <row r="1" spans="1:7" ht="50.25" customHeight="1">
      <c r="A1" s="312" t="str">
        <f>Cronograma!A1</f>
        <v xml:space="preserve">MUNICIPIO DE JOÃO MONLEVADE - MG </v>
      </c>
      <c r="B1" s="313"/>
      <c r="C1" s="313"/>
      <c r="D1" s="313"/>
      <c r="E1" s="313"/>
      <c r="F1" s="313"/>
      <c r="G1" s="314"/>
    </row>
    <row r="2" spans="1:7" ht="5.25" customHeight="1">
      <c r="A2" s="306"/>
      <c r="B2" s="307"/>
      <c r="C2" s="307"/>
      <c r="D2" s="307"/>
      <c r="E2" s="307"/>
      <c r="F2" s="307"/>
      <c r="G2" s="308"/>
    </row>
    <row r="3" spans="1:7" ht="13.15" customHeight="1">
      <c r="A3" s="316" t="s">
        <v>37</v>
      </c>
      <c r="B3" s="317"/>
      <c r="C3" s="317"/>
      <c r="D3" s="317"/>
      <c r="E3" s="317"/>
      <c r="F3" s="317"/>
      <c r="G3" s="318"/>
    </row>
    <row r="4" spans="1:7" ht="5.25" customHeight="1">
      <c r="A4" s="309"/>
      <c r="B4" s="310"/>
      <c r="C4" s="310"/>
      <c r="D4" s="310"/>
      <c r="E4" s="310"/>
      <c r="F4" s="310"/>
      <c r="G4" s="311"/>
    </row>
    <row r="5" spans="1:7">
      <c r="A5" s="302" t="str">
        <f>Cronograma!A5</f>
        <v>SOLICITANTE: MUNICÍPIO DE JOÃO MONLEVADE - MG</v>
      </c>
      <c r="B5" s="303"/>
      <c r="C5" s="303"/>
      <c r="D5" s="303"/>
      <c r="E5" s="303"/>
      <c r="F5" s="303"/>
      <c r="G5" s="315"/>
    </row>
    <row r="6" spans="1:7">
      <c r="A6" s="302" t="str">
        <f>Cronograma!A6</f>
        <v xml:space="preserve">OBRA: OBRAS DE CONSTRUÇÃO DE HABITAÇÃO DE INTERESSE SOCIAL </v>
      </c>
      <c r="B6" s="303"/>
      <c r="C6" s="303"/>
      <c r="D6" s="303"/>
      <c r="E6" s="304" t="str">
        <f>'Planilha orç.'!G7</f>
        <v>DATA: 24/11/2025</v>
      </c>
      <c r="F6" s="304"/>
      <c r="G6" s="305"/>
    </row>
    <row r="7" spans="1:7" ht="12.75" customHeight="1">
      <c r="A7" s="322" t="str">
        <f>Cronograma!A7</f>
        <v>LOCAL: RUA ITAOBIM, S/N, BAIRRO MIRANTE DAS ÁGUAS</v>
      </c>
      <c r="B7" s="304"/>
      <c r="C7" s="304"/>
      <c r="D7" s="304"/>
      <c r="E7" s="33">
        <v>0.05</v>
      </c>
      <c r="F7" s="323" t="s">
        <v>3</v>
      </c>
      <c r="G7" s="324"/>
    </row>
    <row r="8" spans="1:7" ht="26.25" customHeight="1">
      <c r="A8" s="325" t="str">
        <f>Cronograma!A8</f>
        <v>REFERÊNCIA:  SICOR MG 07/2025 - SINAPI 08/2025 NÃO DESONERADA</v>
      </c>
      <c r="B8" s="326"/>
      <c r="C8" s="326"/>
      <c r="D8" s="326"/>
      <c r="E8" s="304" t="s">
        <v>5</v>
      </c>
      <c r="F8" s="323" t="s">
        <v>6</v>
      </c>
      <c r="G8" s="324"/>
    </row>
    <row r="9" spans="1:7">
      <c r="A9" s="322" t="str">
        <f>Cronograma!A9</f>
        <v>PRAZO DE EXECUÇÃO: 4 MESES</v>
      </c>
      <c r="B9" s="304"/>
      <c r="C9" s="304"/>
      <c r="D9" s="304"/>
      <c r="E9" s="304"/>
      <c r="F9" s="34" t="s">
        <v>7</v>
      </c>
      <c r="G9" s="159">
        <v>0.24229999999999999</v>
      </c>
    </row>
    <row r="10" spans="1:7" ht="25.5">
      <c r="A10" s="160" t="s">
        <v>38</v>
      </c>
      <c r="B10" s="58" t="str">
        <f>'Planilha orç.'!C17</f>
        <v>CPU-001</v>
      </c>
      <c r="C10" s="58" t="str">
        <f>'Planilha orç.'!D17</f>
        <v>PLACA DE OBRA EM CHAPA DE ACO GALVANIZADO  CONFORME MANUAL DE PLACAS</v>
      </c>
      <c r="D10" s="58" t="str">
        <f>'Planilha orç.'!E17</f>
        <v>M2</v>
      </c>
      <c r="E10" s="58"/>
      <c r="F10" s="59"/>
      <c r="G10" s="161">
        <f>SUM(G11:G17)</f>
        <v>510.4</v>
      </c>
    </row>
    <row r="11" spans="1:7" ht="23.45" customHeight="1">
      <c r="A11" s="162" t="s">
        <v>39</v>
      </c>
      <c r="B11" s="35" t="s">
        <v>40</v>
      </c>
      <c r="C11" s="36" t="s">
        <v>41</v>
      </c>
      <c r="D11" s="37" t="s">
        <v>42</v>
      </c>
      <c r="E11" s="38">
        <v>1</v>
      </c>
      <c r="F11" s="39">
        <v>9.7899999999999991</v>
      </c>
      <c r="G11" s="163">
        <f>ROUND(E11*F11,2)</f>
        <v>9.7899999999999991</v>
      </c>
    </row>
    <row r="12" spans="1:7" ht="23.45" customHeight="1">
      <c r="A12" s="162" t="s">
        <v>39</v>
      </c>
      <c r="B12" s="35" t="s">
        <v>43</v>
      </c>
      <c r="C12" s="36" t="s">
        <v>44</v>
      </c>
      <c r="D12" s="37" t="s">
        <v>42</v>
      </c>
      <c r="E12" s="38">
        <v>4</v>
      </c>
      <c r="F12" s="39">
        <v>7.88</v>
      </c>
      <c r="G12" s="163">
        <f t="shared" ref="G12:G17" si="0">ROUND(E12*F12,2)</f>
        <v>31.52</v>
      </c>
    </row>
    <row r="13" spans="1:7" ht="38.25">
      <c r="A13" s="162" t="s">
        <v>39</v>
      </c>
      <c r="B13" s="35" t="s">
        <v>45</v>
      </c>
      <c r="C13" s="36" t="s">
        <v>46</v>
      </c>
      <c r="D13" s="37" t="s">
        <v>47</v>
      </c>
      <c r="E13" s="38">
        <v>1</v>
      </c>
      <c r="F13" s="39">
        <v>439.5</v>
      </c>
      <c r="G13" s="163">
        <f t="shared" si="0"/>
        <v>439.5</v>
      </c>
    </row>
    <row r="14" spans="1:7" ht="13.5">
      <c r="A14" s="162" t="s">
        <v>39</v>
      </c>
      <c r="B14" s="35" t="s">
        <v>48</v>
      </c>
      <c r="C14" s="36" t="s">
        <v>49</v>
      </c>
      <c r="D14" s="37" t="s">
        <v>50</v>
      </c>
      <c r="E14" s="38">
        <v>0.05</v>
      </c>
      <c r="F14" s="39">
        <v>17.57</v>
      </c>
      <c r="G14" s="163">
        <f t="shared" si="0"/>
        <v>0.88</v>
      </c>
    </row>
    <row r="15" spans="1:7" ht="25.5">
      <c r="A15" s="162" t="s">
        <v>22</v>
      </c>
      <c r="B15" s="35" t="s">
        <v>51</v>
      </c>
      <c r="C15" s="36" t="s">
        <v>52</v>
      </c>
      <c r="D15" s="37" t="s">
        <v>53</v>
      </c>
      <c r="E15" s="38">
        <v>0.45</v>
      </c>
      <c r="F15" s="39">
        <v>30.75</v>
      </c>
      <c r="G15" s="163">
        <f t="shared" si="0"/>
        <v>13.84</v>
      </c>
    </row>
    <row r="16" spans="1:7" ht="13.5">
      <c r="A16" s="162" t="s">
        <v>22</v>
      </c>
      <c r="B16" s="35" t="s">
        <v>54</v>
      </c>
      <c r="C16" s="36" t="s">
        <v>55</v>
      </c>
      <c r="D16" s="37" t="s">
        <v>53</v>
      </c>
      <c r="E16" s="38">
        <v>0.45</v>
      </c>
      <c r="F16" s="39">
        <v>22.64</v>
      </c>
      <c r="G16" s="163">
        <f t="shared" si="0"/>
        <v>10.19</v>
      </c>
    </row>
    <row r="17" spans="1:10" ht="38.25">
      <c r="A17" s="162" t="s">
        <v>22</v>
      </c>
      <c r="B17" s="35" t="s">
        <v>56</v>
      </c>
      <c r="C17" s="36" t="s">
        <v>57</v>
      </c>
      <c r="D17" s="37" t="s">
        <v>9</v>
      </c>
      <c r="E17" s="38">
        <v>0.01</v>
      </c>
      <c r="F17" s="39">
        <v>467.51</v>
      </c>
      <c r="G17" s="163">
        <f t="shared" si="0"/>
        <v>4.68</v>
      </c>
    </row>
    <row r="18" spans="1:10" ht="16.149999999999999" customHeight="1">
      <c r="A18" s="164"/>
      <c r="B18" s="40"/>
      <c r="C18" s="41"/>
      <c r="D18" s="40"/>
      <c r="E18" s="40"/>
      <c r="F18" s="40"/>
      <c r="G18" s="165"/>
    </row>
    <row r="19" spans="1:10">
      <c r="A19" s="160" t="s">
        <v>38</v>
      </c>
      <c r="B19" s="58" t="str">
        <f>'Planilha orç.'!C14</f>
        <v>CPU-002</v>
      </c>
      <c r="C19" s="58" t="str">
        <f>'Planilha orç.'!D14</f>
        <v>ADMINISTRAÇÃO LOCAL</v>
      </c>
      <c r="D19" s="58" t="str">
        <f>'Planilha orç.'!E14</f>
        <v>MÊS</v>
      </c>
      <c r="E19" s="58"/>
      <c r="F19" s="59"/>
      <c r="G19" s="161">
        <f>SUM(G20:G21)</f>
        <v>2769.98</v>
      </c>
    </row>
    <row r="20" spans="1:10" ht="25.5">
      <c r="A20" s="162" t="s">
        <v>22</v>
      </c>
      <c r="B20" s="35" t="s">
        <v>58</v>
      </c>
      <c r="C20" s="36" t="s">
        <v>59</v>
      </c>
      <c r="D20" s="37" t="s">
        <v>60</v>
      </c>
      <c r="E20" s="38">
        <f>(2*2*4)/220</f>
        <v>7.2727272727272696E-2</v>
      </c>
      <c r="F20" s="39">
        <v>23126.05</v>
      </c>
      <c r="G20" s="163">
        <f>ROUND(E20*F20,2)</f>
        <v>1681.89</v>
      </c>
    </row>
    <row r="21" spans="1:10" ht="25.5">
      <c r="A21" s="162" t="s">
        <v>22</v>
      </c>
      <c r="B21" s="35" t="s">
        <v>61</v>
      </c>
      <c r="C21" s="36" t="s">
        <v>62</v>
      </c>
      <c r="D21" s="37" t="s">
        <v>60</v>
      </c>
      <c r="E21" s="38">
        <f>(2*5*2)/220</f>
        <v>9.0909090909090898E-2</v>
      </c>
      <c r="F21" s="39">
        <v>11968.97</v>
      </c>
      <c r="G21" s="163">
        <f t="shared" ref="G21" si="1">ROUND(E21*F21,2)</f>
        <v>1088.0899999999999</v>
      </c>
    </row>
    <row r="22" spans="1:10">
      <c r="A22" s="164"/>
      <c r="B22" s="40"/>
      <c r="C22" s="41"/>
      <c r="D22" s="40"/>
      <c r="E22" s="40"/>
      <c r="F22" s="40"/>
      <c r="G22" s="165"/>
    </row>
    <row r="23" spans="1:10" ht="52.5" customHeight="1">
      <c r="A23" s="160" t="s">
        <v>38</v>
      </c>
      <c r="B23" s="58" t="str">
        <f>'Planilha orç.'!C18</f>
        <v>CPU-003</v>
      </c>
      <c r="C23" s="58" t="str">
        <f>'Planilha orç.'!D18</f>
        <v>LOCACAO, MOBILIZAÇÃO E DESMOBILIZAÇÃO DE CONTAINER 2,30 X 6,00 M, ALT. 2,50 M, COM 1 SANITARIO, PARA ESCRITORIO, COMPLETO, SEM DIVISORIAS INTERNAS (INCLUI MOBILIZACAO/ DESMOBILIZACAO), NÃO INCLUI LIGAÇÕES PROVISÓRIAS</v>
      </c>
      <c r="D23" s="58" t="str">
        <f>'Planilha orç.'!E18</f>
        <v>MÊS</v>
      </c>
      <c r="E23" s="58"/>
      <c r="F23" s="59"/>
      <c r="G23" s="161">
        <f>SUM(G24:G25)</f>
        <v>1209.3599999999999</v>
      </c>
    </row>
    <row r="24" spans="1:10" ht="76.5">
      <c r="A24" s="162" t="s">
        <v>865</v>
      </c>
      <c r="B24" s="35" t="s">
        <v>67</v>
      </c>
      <c r="C24" s="36" t="s">
        <v>68</v>
      </c>
      <c r="D24" s="37" t="s">
        <v>64</v>
      </c>
      <c r="E24" s="38">
        <v>1</v>
      </c>
      <c r="F24" s="39">
        <v>794.83</v>
      </c>
      <c r="G24" s="163">
        <f>ROUND(E24*F24,2)</f>
        <v>794.83</v>
      </c>
    </row>
    <row r="25" spans="1:10" ht="54" customHeight="1">
      <c r="A25" s="162" t="s">
        <v>865</v>
      </c>
      <c r="B25" s="35" t="s">
        <v>65</v>
      </c>
      <c r="C25" s="36" t="s">
        <v>66</v>
      </c>
      <c r="D25" s="37" t="s">
        <v>63</v>
      </c>
      <c r="E25" s="38">
        <v>1</v>
      </c>
      <c r="F25" s="39">
        <f>1658.12/4</f>
        <v>414.53</v>
      </c>
      <c r="G25" s="163">
        <f>ROUND(E25*F25,2)</f>
        <v>414.53</v>
      </c>
    </row>
    <row r="26" spans="1:10">
      <c r="A26" s="166"/>
      <c r="B26" s="60"/>
      <c r="C26" s="72"/>
      <c r="D26" s="60"/>
      <c r="E26" s="60"/>
      <c r="F26" s="60"/>
      <c r="G26" s="167"/>
      <c r="J26">
        <f>0.914+1.3*0.6</f>
        <v>1.694</v>
      </c>
    </row>
    <row r="27" spans="1:10" ht="30" customHeight="1">
      <c r="A27" s="160" t="s">
        <v>38</v>
      </c>
      <c r="B27" s="58" t="str">
        <f>'Planilha orç.'!C16</f>
        <v>CPU-004</v>
      </c>
      <c r="C27" s="58" t="str">
        <f>'Planilha orç.'!D16</f>
        <v>MOBILIZAÇÃO E DESMOBILIZAÇÃO DE OBRA EM CENTRO URBANO OU REGIÃO LIMÍTROFE COM VALOR ATÉ O VALOR DE 1.000.000,00</v>
      </c>
      <c r="D27" s="58" t="str">
        <f>'Planilha orç.'!E16</f>
        <v xml:space="preserve">UN </v>
      </c>
      <c r="E27" s="58"/>
      <c r="F27" s="59"/>
      <c r="G27" s="161"/>
    </row>
    <row r="28" spans="1:10" ht="38.25">
      <c r="A28" s="162" t="s">
        <v>865</v>
      </c>
      <c r="B28" s="71" t="s">
        <v>73</v>
      </c>
      <c r="C28" s="73" t="s">
        <v>74</v>
      </c>
      <c r="D28" s="74" t="s">
        <v>12</v>
      </c>
      <c r="E28" s="60"/>
      <c r="F28" s="60"/>
      <c r="G28" s="168">
        <v>5.0000000000000001E-3</v>
      </c>
    </row>
    <row r="29" spans="1:10" ht="13.5">
      <c r="A29" s="169"/>
      <c r="B29" s="128"/>
      <c r="C29" s="129"/>
      <c r="D29" s="130"/>
      <c r="E29" s="60"/>
      <c r="F29" s="60"/>
      <c r="G29" s="170"/>
    </row>
    <row r="30" spans="1:10" ht="63.75">
      <c r="A30" s="160" t="s">
        <v>38</v>
      </c>
      <c r="B30" s="58" t="str">
        <f>'Planilha orç.'!C64</f>
        <v>CPU-005</v>
      </c>
      <c r="C30" s="58" t="str">
        <f>'Planilha orç.'!D64</f>
        <v>KIT DE PORTA DE MADEIRA MACIÇA (PESADA OU SUPERPESADA), PADRÃO POPULAR, 90X210CM, ESPESSURA DE 3,5CM, ITENS INCLUSOS: DOBRADIÇAS, MONTAGEM E INSTALAÇÃO DO BATENTE, SEM FECHADURA - FORNECIMENTO E INSTALAÇÃO.</v>
      </c>
      <c r="D30" s="58" t="str">
        <f>'Planilha orç.'!E64</f>
        <v>UN</v>
      </c>
      <c r="E30" s="58"/>
      <c r="F30" s="59"/>
      <c r="G30" s="161">
        <f>SUM(G31:G33)</f>
        <v>1153.6400000000001</v>
      </c>
    </row>
    <row r="31" spans="1:10" ht="38.25">
      <c r="A31" s="162" t="s">
        <v>22</v>
      </c>
      <c r="B31" s="71">
        <v>100660</v>
      </c>
      <c r="C31" s="73" t="s">
        <v>404</v>
      </c>
      <c r="D31" s="74" t="s">
        <v>11</v>
      </c>
      <c r="E31" s="75">
        <f>2.1*4+1.1*2</f>
        <v>10.6</v>
      </c>
      <c r="F31" s="76">
        <v>8.67</v>
      </c>
      <c r="G31" s="171">
        <f t="shared" ref="G31:G33" si="2">E31*F31</f>
        <v>91.9</v>
      </c>
    </row>
    <row r="32" spans="1:10" ht="27" customHeight="1">
      <c r="A32" s="162" t="s">
        <v>22</v>
      </c>
      <c r="B32" s="71">
        <v>91292</v>
      </c>
      <c r="C32" s="73" t="s">
        <v>405</v>
      </c>
      <c r="D32" s="74" t="s">
        <v>182</v>
      </c>
      <c r="E32" s="75">
        <v>1</v>
      </c>
      <c r="F32" s="76">
        <v>365.78</v>
      </c>
      <c r="G32" s="171">
        <f t="shared" si="2"/>
        <v>365.78</v>
      </c>
    </row>
    <row r="33" spans="1:7" ht="38.25">
      <c r="A33" s="162" t="s">
        <v>22</v>
      </c>
      <c r="B33" s="71" t="s">
        <v>406</v>
      </c>
      <c r="C33" s="73" t="s">
        <v>407</v>
      </c>
      <c r="D33" s="74" t="s">
        <v>182</v>
      </c>
      <c r="E33" s="75">
        <v>1</v>
      </c>
      <c r="F33" s="76">
        <v>695.96</v>
      </c>
      <c r="G33" s="171">
        <f t="shared" si="2"/>
        <v>695.96</v>
      </c>
    </row>
    <row r="34" spans="1:7" ht="13.5">
      <c r="A34" s="162"/>
      <c r="B34" s="71"/>
      <c r="C34" s="73"/>
      <c r="D34" s="74"/>
      <c r="E34" s="75"/>
      <c r="F34" s="76"/>
      <c r="G34" s="171"/>
    </row>
    <row r="35" spans="1:7" ht="63.75">
      <c r="A35" s="160" t="s">
        <v>38</v>
      </c>
      <c r="B35" s="58" t="str">
        <f>'Planilha orç.'!C131</f>
        <v>CPU-006</v>
      </c>
      <c r="C35" s="58" t="str">
        <f>'Planilha orç.'!D131</f>
        <v>CONJUNTO DE DUAS (2) TOMADAS PADRÃO, TRÊS (3) POLOS, CORRENTE 10A E 20A, TENSÃO 250V, (2P+T/10A-250V) E  (2P+T/20A-250V), COM PLACA 4"X2" DE DOIS (2) POSTOS, INCLUSIVE FORNECIMENTO, INSTALAÇÃO,SUPORTE, MÓDULO E PLACA</v>
      </c>
      <c r="D35" s="58" t="str">
        <f>'Planilha orç.'!E131</f>
        <v>UN</v>
      </c>
      <c r="E35" s="58"/>
      <c r="F35" s="59"/>
      <c r="G35" s="161">
        <f>SUM(G36:G39)</f>
        <v>47.49</v>
      </c>
    </row>
    <row r="36" spans="1:7" ht="51">
      <c r="A36" s="162" t="s">
        <v>22</v>
      </c>
      <c r="B36" s="71" t="s">
        <v>818</v>
      </c>
      <c r="C36" s="73" t="s">
        <v>819</v>
      </c>
      <c r="D36" s="74" t="s">
        <v>182</v>
      </c>
      <c r="E36" s="75">
        <v>1</v>
      </c>
      <c r="F36" s="76">
        <v>9.0500000000000007</v>
      </c>
      <c r="G36" s="171">
        <f t="shared" ref="G36:G38" si="3">E36*F36</f>
        <v>9.0500000000000007</v>
      </c>
    </row>
    <row r="37" spans="1:7" ht="38.25">
      <c r="A37" s="162" t="s">
        <v>22</v>
      </c>
      <c r="B37" s="71" t="s">
        <v>820</v>
      </c>
      <c r="C37" s="73" t="s">
        <v>821</v>
      </c>
      <c r="D37" s="74" t="s">
        <v>182</v>
      </c>
      <c r="E37" s="75">
        <v>1</v>
      </c>
      <c r="F37" s="76">
        <v>4.8099999999999996</v>
      </c>
      <c r="G37" s="171">
        <f t="shared" si="3"/>
        <v>4.8099999999999996</v>
      </c>
    </row>
    <row r="38" spans="1:7" ht="51">
      <c r="A38" s="162" t="s">
        <v>22</v>
      </c>
      <c r="B38" s="71" t="s">
        <v>822</v>
      </c>
      <c r="C38" s="73" t="s">
        <v>823</v>
      </c>
      <c r="D38" s="74" t="s">
        <v>182</v>
      </c>
      <c r="E38" s="75">
        <v>1</v>
      </c>
      <c r="F38" s="76">
        <v>15.51</v>
      </c>
      <c r="G38" s="171">
        <f t="shared" si="3"/>
        <v>15.51</v>
      </c>
    </row>
    <row r="39" spans="1:7" ht="38.25">
      <c r="A39" s="162" t="s">
        <v>22</v>
      </c>
      <c r="B39" s="71" t="s">
        <v>824</v>
      </c>
      <c r="C39" s="73" t="s">
        <v>825</v>
      </c>
      <c r="D39" s="74" t="s">
        <v>182</v>
      </c>
      <c r="E39" s="75">
        <v>1</v>
      </c>
      <c r="F39" s="76">
        <v>18.12</v>
      </c>
      <c r="G39" s="171">
        <f t="shared" ref="G39" si="4">E39*F39</f>
        <v>18.12</v>
      </c>
    </row>
    <row r="40" spans="1:7" ht="13.5">
      <c r="A40" s="169"/>
      <c r="B40" s="128"/>
      <c r="C40" s="129"/>
      <c r="D40" s="130"/>
      <c r="E40" s="60"/>
      <c r="F40" s="60"/>
      <c r="G40" s="170"/>
    </row>
    <row r="41" spans="1:7" ht="63.75">
      <c r="A41" s="160" t="s">
        <v>38</v>
      </c>
      <c r="B41" s="58" t="str">
        <f>'Planilha orç.'!C154</f>
        <v>CPU-007</v>
      </c>
      <c r="C41" s="58" t="str">
        <f>'Planilha orç.'!D154</f>
        <v>ENTRADA DE ENERGIA AÉREA, TIPO C1, PADRÃO CEMIG, CARGA INSTALADA DE 0KVA ATÉ 24KVA, TRIFÁSICO, COM SAÍDA SUBTERRÂNEA, INCLUSIVE POSTE, CAIXA PARA MEDIDOR, DISJUNTOR, BARRAMENTO, ATERRAMENTO E ACESSÓRIOS</v>
      </c>
      <c r="D41" s="58" t="str">
        <f>'Planilha orç.'!E154</f>
        <v>UN</v>
      </c>
      <c r="E41" s="58"/>
      <c r="F41" s="59"/>
      <c r="G41" s="161">
        <f>SUM(G42:G61)</f>
        <v>2973.55</v>
      </c>
    </row>
    <row r="42" spans="1:7" ht="38.25">
      <c r="A42" s="162" t="s">
        <v>865</v>
      </c>
      <c r="B42" s="71" t="s">
        <v>826</v>
      </c>
      <c r="C42" s="73" t="s">
        <v>827</v>
      </c>
      <c r="D42" s="74" t="s">
        <v>11</v>
      </c>
      <c r="E42" s="75">
        <v>4</v>
      </c>
      <c r="F42" s="76">
        <v>8.99</v>
      </c>
      <c r="G42" s="171">
        <f t="shared" ref="G42:G61" si="5">E42*F42</f>
        <v>35.96</v>
      </c>
    </row>
    <row r="43" spans="1:7" ht="38.25">
      <c r="A43" s="162" t="s">
        <v>865</v>
      </c>
      <c r="B43" s="71" t="s">
        <v>828</v>
      </c>
      <c r="C43" s="73" t="s">
        <v>829</v>
      </c>
      <c r="D43" s="74" t="s">
        <v>182</v>
      </c>
      <c r="E43" s="75">
        <v>1</v>
      </c>
      <c r="F43" s="76">
        <v>11.37</v>
      </c>
      <c r="G43" s="171">
        <f t="shared" si="5"/>
        <v>11.37</v>
      </c>
    </row>
    <row r="44" spans="1:7" ht="25.5">
      <c r="A44" s="162" t="s">
        <v>865</v>
      </c>
      <c r="B44" s="71" t="s">
        <v>830</v>
      </c>
      <c r="C44" s="73" t="s">
        <v>831</v>
      </c>
      <c r="D44" s="74" t="s">
        <v>182</v>
      </c>
      <c r="E44" s="75">
        <v>1</v>
      </c>
      <c r="F44" s="76">
        <v>148.07</v>
      </c>
      <c r="G44" s="171">
        <f t="shared" si="5"/>
        <v>148.07</v>
      </c>
    </row>
    <row r="45" spans="1:7" ht="25.5">
      <c r="A45" s="162" t="s">
        <v>865</v>
      </c>
      <c r="B45" s="71" t="s">
        <v>832</v>
      </c>
      <c r="C45" s="73" t="s">
        <v>833</v>
      </c>
      <c r="D45" s="74" t="s">
        <v>72</v>
      </c>
      <c r="E45" s="75">
        <v>0.108385</v>
      </c>
      <c r="F45" s="76">
        <v>101</v>
      </c>
      <c r="G45" s="171">
        <f t="shared" si="5"/>
        <v>10.95</v>
      </c>
    </row>
    <row r="46" spans="1:7" ht="25.5">
      <c r="A46" s="162" t="s">
        <v>865</v>
      </c>
      <c r="B46" s="71" t="s">
        <v>834</v>
      </c>
      <c r="C46" s="73" t="s">
        <v>835</v>
      </c>
      <c r="D46" s="74" t="s">
        <v>72</v>
      </c>
      <c r="E46" s="75">
        <v>0.5</v>
      </c>
      <c r="F46" s="76">
        <v>21.25</v>
      </c>
      <c r="G46" s="171">
        <f t="shared" si="5"/>
        <v>10.63</v>
      </c>
    </row>
    <row r="47" spans="1:7" ht="63.75">
      <c r="A47" s="162" t="s">
        <v>865</v>
      </c>
      <c r="B47" s="71" t="s">
        <v>836</v>
      </c>
      <c r="C47" s="73" t="s">
        <v>837</v>
      </c>
      <c r="D47" s="74" t="s">
        <v>182</v>
      </c>
      <c r="E47" s="75">
        <v>1</v>
      </c>
      <c r="F47" s="76">
        <v>478.4</v>
      </c>
      <c r="G47" s="171">
        <f t="shared" si="5"/>
        <v>478.4</v>
      </c>
    </row>
    <row r="48" spans="1:7" ht="51">
      <c r="A48" s="162" t="s">
        <v>865</v>
      </c>
      <c r="B48" s="71" t="s">
        <v>838</v>
      </c>
      <c r="C48" s="73" t="s">
        <v>839</v>
      </c>
      <c r="D48" s="74" t="s">
        <v>840</v>
      </c>
      <c r="E48" s="75">
        <v>4.2</v>
      </c>
      <c r="F48" s="76">
        <v>58.69</v>
      </c>
      <c r="G48" s="171">
        <f t="shared" si="5"/>
        <v>246.5</v>
      </c>
    </row>
    <row r="49" spans="1:7" ht="63.75">
      <c r="A49" s="162" t="s">
        <v>865</v>
      </c>
      <c r="B49" s="71" t="s">
        <v>808</v>
      </c>
      <c r="C49" s="73" t="s">
        <v>841</v>
      </c>
      <c r="D49" s="74" t="s">
        <v>182</v>
      </c>
      <c r="E49" s="75">
        <v>2</v>
      </c>
      <c r="F49" s="76">
        <v>111.18</v>
      </c>
      <c r="G49" s="171">
        <f t="shared" si="5"/>
        <v>222.36</v>
      </c>
    </row>
    <row r="50" spans="1:7" ht="38.25">
      <c r="A50" s="162" t="s">
        <v>865</v>
      </c>
      <c r="B50" s="71" t="s">
        <v>842</v>
      </c>
      <c r="C50" s="73" t="s">
        <v>843</v>
      </c>
      <c r="D50" s="74" t="s">
        <v>182</v>
      </c>
      <c r="E50" s="75">
        <v>1</v>
      </c>
      <c r="F50" s="76">
        <v>14.46</v>
      </c>
      <c r="G50" s="171">
        <f t="shared" si="5"/>
        <v>14.46</v>
      </c>
    </row>
    <row r="51" spans="1:7" ht="38.25">
      <c r="A51" s="162" t="s">
        <v>865</v>
      </c>
      <c r="B51" s="71" t="s">
        <v>844</v>
      </c>
      <c r="C51" s="73" t="s">
        <v>845</v>
      </c>
      <c r="D51" s="74" t="s">
        <v>182</v>
      </c>
      <c r="E51" s="75">
        <v>2</v>
      </c>
      <c r="F51" s="76">
        <v>7.16</v>
      </c>
      <c r="G51" s="171">
        <f t="shared" si="5"/>
        <v>14.32</v>
      </c>
    </row>
    <row r="52" spans="1:7" ht="38.25">
      <c r="A52" s="162" t="s">
        <v>865</v>
      </c>
      <c r="B52" s="71" t="s">
        <v>846</v>
      </c>
      <c r="C52" s="73" t="s">
        <v>847</v>
      </c>
      <c r="D52" s="74" t="s">
        <v>182</v>
      </c>
      <c r="E52" s="75">
        <v>1</v>
      </c>
      <c r="F52" s="76">
        <v>264.32</v>
      </c>
      <c r="G52" s="171">
        <f t="shared" si="5"/>
        <v>264.32</v>
      </c>
    </row>
    <row r="53" spans="1:7" ht="38.25">
      <c r="A53" s="162" t="s">
        <v>865</v>
      </c>
      <c r="B53" s="71" t="s">
        <v>848</v>
      </c>
      <c r="C53" s="73" t="s">
        <v>849</v>
      </c>
      <c r="D53" s="74" t="s">
        <v>11</v>
      </c>
      <c r="E53" s="75">
        <v>2</v>
      </c>
      <c r="F53" s="76">
        <v>21.93</v>
      </c>
      <c r="G53" s="171">
        <f t="shared" si="5"/>
        <v>43.86</v>
      </c>
    </row>
    <row r="54" spans="1:7" ht="38.25">
      <c r="A54" s="162" t="s">
        <v>865</v>
      </c>
      <c r="B54" s="71" t="s">
        <v>850</v>
      </c>
      <c r="C54" s="73" t="s">
        <v>851</v>
      </c>
      <c r="D54" s="74" t="s">
        <v>11</v>
      </c>
      <c r="E54" s="75">
        <v>6</v>
      </c>
      <c r="F54" s="76">
        <v>35.31</v>
      </c>
      <c r="G54" s="171">
        <f t="shared" si="5"/>
        <v>211.86</v>
      </c>
    </row>
    <row r="55" spans="1:7" ht="51">
      <c r="A55" s="162" t="s">
        <v>865</v>
      </c>
      <c r="B55" s="71" t="s">
        <v>852</v>
      </c>
      <c r="C55" s="73" t="s">
        <v>853</v>
      </c>
      <c r="D55" s="74" t="s">
        <v>182</v>
      </c>
      <c r="E55" s="75">
        <v>1</v>
      </c>
      <c r="F55" s="76">
        <v>36.81</v>
      </c>
      <c r="G55" s="171">
        <f t="shared" si="5"/>
        <v>36.81</v>
      </c>
    </row>
    <row r="56" spans="1:7" ht="38.25">
      <c r="A56" s="162" t="s">
        <v>865</v>
      </c>
      <c r="B56" s="71" t="s">
        <v>854</v>
      </c>
      <c r="C56" s="73" t="s">
        <v>855</v>
      </c>
      <c r="D56" s="74" t="s">
        <v>182</v>
      </c>
      <c r="E56" s="75">
        <v>1</v>
      </c>
      <c r="F56" s="76">
        <v>12.49</v>
      </c>
      <c r="G56" s="171">
        <f t="shared" si="5"/>
        <v>12.49</v>
      </c>
    </row>
    <row r="57" spans="1:7" ht="25.5">
      <c r="A57" s="162" t="s">
        <v>865</v>
      </c>
      <c r="B57" s="71" t="s">
        <v>856</v>
      </c>
      <c r="C57" s="73" t="s">
        <v>857</v>
      </c>
      <c r="D57" s="74" t="s">
        <v>53</v>
      </c>
      <c r="E57" s="75">
        <v>7.3333332999999996</v>
      </c>
      <c r="F57" s="76">
        <v>25.52</v>
      </c>
      <c r="G57" s="171">
        <f t="shared" si="5"/>
        <v>187.15</v>
      </c>
    </row>
    <row r="58" spans="1:7" ht="13.5">
      <c r="A58" s="162" t="s">
        <v>865</v>
      </c>
      <c r="B58" s="71" t="s">
        <v>858</v>
      </c>
      <c r="C58" s="73" t="s">
        <v>859</v>
      </c>
      <c r="D58" s="74" t="s">
        <v>53</v>
      </c>
      <c r="E58" s="75">
        <v>7.3333332999999996</v>
      </c>
      <c r="F58" s="76">
        <v>31.64</v>
      </c>
      <c r="G58" s="171">
        <f t="shared" si="5"/>
        <v>232.03</v>
      </c>
    </row>
    <row r="59" spans="1:7" ht="63.75">
      <c r="A59" s="162" t="s">
        <v>865</v>
      </c>
      <c r="B59" s="71" t="s">
        <v>860</v>
      </c>
      <c r="C59" s="73" t="s">
        <v>861</v>
      </c>
      <c r="D59" s="74" t="s">
        <v>840</v>
      </c>
      <c r="E59" s="75">
        <v>8.9580000000000002</v>
      </c>
      <c r="F59" s="76">
        <v>10.01</v>
      </c>
      <c r="G59" s="171">
        <f t="shared" si="5"/>
        <v>89.67</v>
      </c>
    </row>
    <row r="60" spans="1:7" ht="63.75">
      <c r="A60" s="162" t="s">
        <v>865</v>
      </c>
      <c r="B60" s="71" t="s">
        <v>862</v>
      </c>
      <c r="C60" s="73" t="s">
        <v>863</v>
      </c>
      <c r="D60" s="74" t="s">
        <v>840</v>
      </c>
      <c r="E60" s="75">
        <v>8.9580000000000002</v>
      </c>
      <c r="F60" s="76">
        <v>53.3</v>
      </c>
      <c r="G60" s="171">
        <f t="shared" si="5"/>
        <v>477.46</v>
      </c>
    </row>
    <row r="61" spans="1:7" ht="51">
      <c r="A61" s="162" t="s">
        <v>865</v>
      </c>
      <c r="B61" s="71" t="s">
        <v>810</v>
      </c>
      <c r="C61" s="73" t="s">
        <v>864</v>
      </c>
      <c r="D61" s="74" t="s">
        <v>182</v>
      </c>
      <c r="E61" s="75">
        <v>2</v>
      </c>
      <c r="F61" s="76">
        <v>112.44</v>
      </c>
      <c r="G61" s="171">
        <f t="shared" si="5"/>
        <v>224.88</v>
      </c>
    </row>
    <row r="62" spans="1:7" ht="13.5">
      <c r="A62" s="169"/>
      <c r="B62" s="128"/>
      <c r="C62" s="129"/>
      <c r="D62" s="130"/>
      <c r="E62" s="60"/>
      <c r="F62" s="60"/>
      <c r="G62" s="170"/>
    </row>
    <row r="63" spans="1:7" ht="63.75">
      <c r="A63" s="160" t="s">
        <v>38</v>
      </c>
      <c r="B63" s="58" t="str">
        <f>'Planilha orç.'!C140</f>
        <v>CPU-008</v>
      </c>
      <c r="C63" s="58" t="str">
        <f>'Planilha orç.'!D140</f>
        <v>LUMINÁRIA DE TETO COM BASE (MODELO: PLAFONIER|BASE: PLÁSTICO-POLIPROPILENO|SOQUETE: INCLUSO|TIPO DE SOQUETE: E27|MATERIAL DO SOQUETE: PORCELANA|POTÊNCIA MÁXIMA LÂMPADA: 60W|LÂMPADA: NÃO INCLUSA), INCLUSIVE FORNECIMENTO E INSTALAÇÃO</v>
      </c>
      <c r="D63" s="58" t="str">
        <f>'Planilha orç.'!E140</f>
        <v>UN</v>
      </c>
      <c r="E63" s="58"/>
      <c r="F63" s="59"/>
      <c r="G63" s="161">
        <f>SUM(G64:G66)</f>
        <v>25.95</v>
      </c>
    </row>
    <row r="64" spans="1:7" ht="51">
      <c r="A64" s="162" t="s">
        <v>865</v>
      </c>
      <c r="B64" s="71" t="s">
        <v>866</v>
      </c>
      <c r="C64" s="73" t="s">
        <v>867</v>
      </c>
      <c r="D64" s="74" t="s">
        <v>182</v>
      </c>
      <c r="E64" s="75">
        <v>1</v>
      </c>
      <c r="F64" s="76">
        <v>5.6</v>
      </c>
      <c r="G64" s="171">
        <f t="shared" ref="G64:G66" si="6">E64*F64</f>
        <v>5.6</v>
      </c>
    </row>
    <row r="65" spans="1:9" ht="25.5">
      <c r="A65" s="162" t="s">
        <v>865</v>
      </c>
      <c r="B65" s="71" t="s">
        <v>856</v>
      </c>
      <c r="C65" s="73" t="s">
        <v>857</v>
      </c>
      <c r="D65" s="74" t="s">
        <v>53</v>
      </c>
      <c r="E65" s="75">
        <v>0.22916700000000001</v>
      </c>
      <c r="F65" s="76">
        <v>25.52</v>
      </c>
      <c r="G65" s="171">
        <f t="shared" si="6"/>
        <v>5.85</v>
      </c>
    </row>
    <row r="66" spans="1:9" ht="13.5">
      <c r="A66" s="162" t="s">
        <v>865</v>
      </c>
      <c r="B66" s="71" t="s">
        <v>858</v>
      </c>
      <c r="C66" s="73" t="s">
        <v>859</v>
      </c>
      <c r="D66" s="74" t="s">
        <v>53</v>
      </c>
      <c r="E66" s="75">
        <v>0.45833299999999999</v>
      </c>
      <c r="F66" s="76">
        <v>31.64</v>
      </c>
      <c r="G66" s="171">
        <f t="shared" si="6"/>
        <v>14.5</v>
      </c>
    </row>
    <row r="67" spans="1:9" ht="13.5">
      <c r="A67" s="169"/>
      <c r="B67" s="128"/>
      <c r="C67" s="129"/>
      <c r="D67" s="130"/>
      <c r="E67" s="60"/>
      <c r="F67" s="60"/>
      <c r="G67" s="170"/>
    </row>
    <row r="68" spans="1:9" ht="61.5" customHeight="1">
      <c r="A68" s="166"/>
      <c r="B68" s="60"/>
      <c r="C68" s="60"/>
      <c r="D68" s="60"/>
      <c r="E68" s="60"/>
      <c r="F68" s="60"/>
      <c r="G68" s="167"/>
    </row>
    <row r="69" spans="1:9">
      <c r="A69" s="172"/>
      <c r="B69" s="320"/>
      <c r="C69" s="320"/>
      <c r="D69" s="320"/>
      <c r="E69" s="327" t="s">
        <v>13</v>
      </c>
      <c r="F69" s="327"/>
      <c r="G69" s="328"/>
    </row>
    <row r="70" spans="1:9" ht="13.5">
      <c r="A70" s="173"/>
      <c r="B70" s="319" t="s">
        <v>86</v>
      </c>
      <c r="C70" s="319"/>
      <c r="D70" s="319"/>
      <c r="E70" s="320" t="s">
        <v>28</v>
      </c>
      <c r="F70" s="320"/>
      <c r="G70" s="321"/>
      <c r="I70">
        <f>1825/2</f>
        <v>912.5</v>
      </c>
    </row>
    <row r="74" spans="1:9">
      <c r="C74" s="77"/>
    </row>
  </sheetData>
  <mergeCells count="17">
    <mergeCell ref="B70:D70"/>
    <mergeCell ref="E70:G70"/>
    <mergeCell ref="A7:D7"/>
    <mergeCell ref="F7:G7"/>
    <mergeCell ref="A8:D8"/>
    <mergeCell ref="E8:E9"/>
    <mergeCell ref="F8:G8"/>
    <mergeCell ref="A9:D9"/>
    <mergeCell ref="B69:D69"/>
    <mergeCell ref="E69:G69"/>
    <mergeCell ref="A6:D6"/>
    <mergeCell ref="E6:G6"/>
    <mergeCell ref="A2:G2"/>
    <mergeCell ref="A4:G4"/>
    <mergeCell ref="A1:G1"/>
    <mergeCell ref="A5:G5"/>
    <mergeCell ref="A3:G3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  <headerFooter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7"/>
  <sheetViews>
    <sheetView view="pageBreakPreview" topLeftCell="A31" zoomScale="110" zoomScaleSheetLayoutView="110" workbookViewId="0">
      <selection sqref="A1:D1"/>
    </sheetView>
  </sheetViews>
  <sheetFormatPr defaultRowHeight="12.75"/>
  <cols>
    <col min="1" max="1" width="33" customWidth="1"/>
    <col min="2" max="2" width="13.7109375" customWidth="1"/>
    <col min="3" max="4" width="14.5703125" customWidth="1"/>
  </cols>
  <sheetData>
    <row r="1" spans="1:4" ht="41.25" customHeight="1">
      <c r="A1" s="342" t="str">
        <f>'Planilha orç.'!A1</f>
        <v xml:space="preserve">MUNICIPIO DE JOÃO MONLEVADE - MG </v>
      </c>
      <c r="B1" s="343"/>
      <c r="C1" s="343"/>
      <c r="D1" s="344"/>
    </row>
    <row r="2" spans="1:4" ht="6" customHeight="1">
      <c r="A2" s="345"/>
      <c r="B2" s="346"/>
      <c r="C2" s="346"/>
      <c r="D2" s="347"/>
    </row>
    <row r="3" spans="1:4" ht="16.5">
      <c r="A3" s="348" t="s">
        <v>878</v>
      </c>
      <c r="B3" s="349"/>
      <c r="C3" s="349"/>
      <c r="D3" s="350"/>
    </row>
    <row r="4" spans="1:4" ht="6" customHeight="1">
      <c r="A4" s="345"/>
      <c r="B4" s="346"/>
      <c r="C4" s="346"/>
      <c r="D4" s="347"/>
    </row>
    <row r="5" spans="1:4" ht="13.5">
      <c r="A5" s="351" t="str">
        <f>'Planilha orç.'!A5</f>
        <v xml:space="preserve">OBRA: OBRAS DE CONSTRUÇÃO DE HABITAÇÃO DE INTERESSE SOCIAL </v>
      </c>
      <c r="B5" s="352"/>
      <c r="C5" s="352"/>
      <c r="D5" s="353"/>
    </row>
    <row r="6" spans="1:4" ht="13.5">
      <c r="A6" s="351" t="str">
        <f>'Planilha orç.'!A7</f>
        <v>LOCAL: RUA ITAOBIM, S/N, BAIRRO MIRANTE DAS ÁGUAS</v>
      </c>
      <c r="B6" s="352"/>
      <c r="C6" s="352"/>
      <c r="D6" s="353"/>
    </row>
    <row r="7" spans="1:4" ht="6" customHeight="1">
      <c r="A7" s="354"/>
      <c r="B7" s="355"/>
      <c r="C7" s="355"/>
      <c r="D7" s="356"/>
    </row>
    <row r="8" spans="1:4" ht="13.5">
      <c r="A8" s="357" t="s">
        <v>87</v>
      </c>
      <c r="B8" s="358"/>
      <c r="C8" s="358"/>
      <c r="D8" s="359"/>
    </row>
    <row r="9" spans="1:4" ht="25.5">
      <c r="A9" s="89" t="s">
        <v>88</v>
      </c>
      <c r="B9" s="90" t="s">
        <v>89</v>
      </c>
      <c r="C9" s="91" t="s">
        <v>90</v>
      </c>
      <c r="D9" s="92" t="s">
        <v>91</v>
      </c>
    </row>
    <row r="10" spans="1:4">
      <c r="A10" s="93" t="s">
        <v>92</v>
      </c>
      <c r="B10" s="94" t="s">
        <v>93</v>
      </c>
      <c r="C10" s="95">
        <v>1</v>
      </c>
      <c r="D10" s="96"/>
    </row>
    <row r="11" spans="1:4">
      <c r="A11" s="97" t="s">
        <v>94</v>
      </c>
      <c r="B11" s="94" t="s">
        <v>95</v>
      </c>
      <c r="C11" s="95">
        <v>0.03</v>
      </c>
      <c r="D11" s="96" t="s">
        <v>93</v>
      </c>
    </row>
    <row r="12" spans="1:4">
      <c r="A12" s="97" t="s">
        <v>96</v>
      </c>
      <c r="B12" s="94" t="s">
        <v>97</v>
      </c>
      <c r="C12" s="95">
        <v>7.3999999999999996E-2</v>
      </c>
      <c r="D12" s="96" t="s">
        <v>93</v>
      </c>
    </row>
    <row r="13" spans="1:4">
      <c r="A13" s="97" t="s">
        <v>98</v>
      </c>
      <c r="B13" s="94" t="s">
        <v>99</v>
      </c>
      <c r="C13" s="95">
        <v>1.23E-2</v>
      </c>
      <c r="D13" s="96" t="s">
        <v>93</v>
      </c>
    </row>
    <row r="14" spans="1:4">
      <c r="A14" s="97" t="s">
        <v>100</v>
      </c>
      <c r="B14" s="94" t="s">
        <v>101</v>
      </c>
      <c r="C14" s="95">
        <f>C15+C16</f>
        <v>1.77E-2</v>
      </c>
      <c r="D14" s="96" t="s">
        <v>93</v>
      </c>
    </row>
    <row r="15" spans="1:4">
      <c r="A15" s="98" t="s">
        <v>102</v>
      </c>
      <c r="B15" s="94" t="s">
        <v>103</v>
      </c>
      <c r="C15" s="99">
        <v>8.0000000000000002E-3</v>
      </c>
      <c r="D15" s="100" t="s">
        <v>93</v>
      </c>
    </row>
    <row r="16" spans="1:4">
      <c r="A16" s="98" t="s">
        <v>104</v>
      </c>
      <c r="B16" s="94" t="s">
        <v>105</v>
      </c>
      <c r="C16" s="99">
        <v>9.7000000000000003E-3</v>
      </c>
      <c r="D16" s="100" t="s">
        <v>93</v>
      </c>
    </row>
    <row r="17" spans="1:4">
      <c r="A17" s="97" t="s">
        <v>106</v>
      </c>
      <c r="B17" s="94" t="s">
        <v>107</v>
      </c>
      <c r="C17" s="99">
        <f>C18+C19+C20</f>
        <v>8.6499999999999994E-2</v>
      </c>
      <c r="D17" s="100" t="s">
        <v>108</v>
      </c>
    </row>
    <row r="18" spans="1:4">
      <c r="A18" s="98" t="s">
        <v>109</v>
      </c>
      <c r="B18" s="94" t="s">
        <v>109</v>
      </c>
      <c r="C18" s="95">
        <v>0.05</v>
      </c>
      <c r="D18" s="100" t="s">
        <v>108</v>
      </c>
    </row>
    <row r="19" spans="1:4">
      <c r="A19" s="98" t="s">
        <v>110</v>
      </c>
      <c r="B19" s="94" t="s">
        <v>110</v>
      </c>
      <c r="C19" s="99">
        <v>6.4999999999999997E-3</v>
      </c>
      <c r="D19" s="100" t="s">
        <v>108</v>
      </c>
    </row>
    <row r="20" spans="1:4">
      <c r="A20" s="98" t="s">
        <v>111</v>
      </c>
      <c r="B20" s="94" t="s">
        <v>111</v>
      </c>
      <c r="C20" s="99">
        <v>0.03</v>
      </c>
      <c r="D20" s="100" t="s">
        <v>108</v>
      </c>
    </row>
    <row r="21" spans="1:4">
      <c r="A21" s="97" t="s">
        <v>112</v>
      </c>
      <c r="B21" s="94" t="s">
        <v>113</v>
      </c>
      <c r="C21" s="101"/>
      <c r="D21" s="100" t="s">
        <v>108</v>
      </c>
    </row>
    <row r="22" spans="1:4" ht="13.5">
      <c r="A22" s="339" t="s">
        <v>114</v>
      </c>
      <c r="B22" s="361" t="s">
        <v>115</v>
      </c>
      <c r="C22" s="361"/>
      <c r="D22" s="362"/>
    </row>
    <row r="23" spans="1:4">
      <c r="A23" s="360"/>
      <c r="B23" s="363" t="s">
        <v>116</v>
      </c>
      <c r="C23" s="363"/>
      <c r="D23" s="364"/>
    </row>
    <row r="24" spans="1:4">
      <c r="A24" s="339" t="s">
        <v>117</v>
      </c>
      <c r="B24" s="340" t="s">
        <v>118</v>
      </c>
      <c r="C24" s="102">
        <f>(1+(C11+C14))*(1+C13)*(1+C12)-1</f>
        <v>0.1391</v>
      </c>
      <c r="D24" s="341">
        <f>((1+C24)/C25-1)</f>
        <v>0.247</v>
      </c>
    </row>
    <row r="25" spans="1:4">
      <c r="A25" s="339"/>
      <c r="B25" s="340"/>
      <c r="C25" s="103">
        <f>(1-(C17+C21))</f>
        <v>0.91349999999999998</v>
      </c>
      <c r="D25" s="341"/>
    </row>
    <row r="26" spans="1:4">
      <c r="A26" s="104"/>
      <c r="B26" s="105"/>
      <c r="C26" s="106"/>
      <c r="D26" s="107"/>
    </row>
    <row r="27" spans="1:4" ht="30" customHeight="1">
      <c r="A27" s="333" t="s">
        <v>119</v>
      </c>
      <c r="B27" s="334"/>
      <c r="C27" s="334"/>
      <c r="D27" s="335"/>
    </row>
    <row r="28" spans="1:4" ht="30" customHeight="1">
      <c r="A28" s="336" t="s">
        <v>120</v>
      </c>
      <c r="B28" s="337"/>
      <c r="C28" s="337"/>
      <c r="D28" s="338"/>
    </row>
    <row r="29" spans="1:4" ht="15" customHeight="1">
      <c r="A29" s="336" t="s">
        <v>121</v>
      </c>
      <c r="B29" s="337"/>
      <c r="C29" s="337"/>
      <c r="D29" s="338"/>
    </row>
    <row r="30" spans="1:4" ht="15" customHeight="1">
      <c r="A30" s="336" t="s">
        <v>122</v>
      </c>
      <c r="B30" s="337"/>
      <c r="C30" s="337"/>
      <c r="D30" s="338"/>
    </row>
    <row r="31" spans="1:4" ht="15" customHeight="1">
      <c r="A31" s="336" t="s">
        <v>123</v>
      </c>
      <c r="B31" s="337"/>
      <c r="C31" s="337"/>
      <c r="D31" s="338"/>
    </row>
    <row r="32" spans="1:4" ht="15" customHeight="1">
      <c r="A32" s="336" t="s">
        <v>879</v>
      </c>
      <c r="B32" s="337"/>
      <c r="C32" s="337"/>
      <c r="D32" s="338"/>
    </row>
    <row r="33" spans="1:4">
      <c r="A33" s="108"/>
      <c r="B33" s="109"/>
      <c r="C33" s="109"/>
      <c r="D33" s="110"/>
    </row>
    <row r="34" spans="1:4" ht="27.75" customHeight="1">
      <c r="A34" s="111"/>
      <c r="C34" s="30"/>
      <c r="D34" s="112"/>
    </row>
    <row r="35" spans="1:4" ht="13.5">
      <c r="A35" s="329"/>
      <c r="B35" s="330"/>
      <c r="C35" s="30"/>
      <c r="D35" s="113" t="s">
        <v>13</v>
      </c>
    </row>
    <row r="36" spans="1:4" ht="13.5">
      <c r="A36" s="331" t="s">
        <v>124</v>
      </c>
      <c r="B36" s="332"/>
      <c r="C36" s="30"/>
      <c r="D36" s="114" t="s">
        <v>125</v>
      </c>
    </row>
    <row r="37" spans="1:4">
      <c r="A37" s="115"/>
      <c r="B37" s="116"/>
      <c r="C37" s="116"/>
      <c r="D37" s="117"/>
    </row>
  </sheetData>
  <mergeCells count="22">
    <mergeCell ref="A24:A25"/>
    <mergeCell ref="B24:B25"/>
    <mergeCell ref="D24:D25"/>
    <mergeCell ref="A1:D1"/>
    <mergeCell ref="A2:D2"/>
    <mergeCell ref="A3:D3"/>
    <mergeCell ref="A4:D4"/>
    <mergeCell ref="A5:D5"/>
    <mergeCell ref="A6:D6"/>
    <mergeCell ref="A7:D7"/>
    <mergeCell ref="A8:D8"/>
    <mergeCell ref="A22:A23"/>
    <mergeCell ref="B22:D22"/>
    <mergeCell ref="B23:D23"/>
    <mergeCell ref="A35:B35"/>
    <mergeCell ref="A36:B36"/>
    <mergeCell ref="A27:D27"/>
    <mergeCell ref="A28:D28"/>
    <mergeCell ref="A29:D29"/>
    <mergeCell ref="A30:D30"/>
    <mergeCell ref="A31:D31"/>
    <mergeCell ref="A32:D32"/>
  </mergeCells>
  <conditionalFormatting sqref="B13:B14">
    <cfRule type="cellIs" dxfId="3" priority="2" stopIfTrue="1" operator="equal">
      <formula>0</formula>
    </cfRule>
    <cfRule type="cellIs" dxfId="2" priority="3" stopIfTrue="1" operator="equal">
      <formula>"FORA DO LIMITE !"</formula>
    </cfRule>
  </conditionalFormatting>
  <conditionalFormatting sqref="B24">
    <cfRule type="cellIs" dxfId="1" priority="1" stopIfTrue="1" operator="equal">
      <formula>"ERRO"</formula>
    </cfRule>
  </conditionalFormatting>
  <conditionalFormatting sqref="D9 B25 B28">
    <cfRule type="cellIs" dxfId="0" priority="4" stopIfTrue="1" operator="equal">
      <formula>0</formula>
    </cfRule>
  </conditionalFormatting>
  <dataValidations disablePrompts="1" count="2">
    <dataValidation type="decimal" allowBlank="1" showInputMessage="1" showErrorMessage="1" sqref="D8">
      <formula1>6.64</formula1>
      <formula2>8.69</formula2>
    </dataValidation>
    <dataValidation type="decimal" allowBlank="1" showInputMessage="1" showErrorMessage="1" sqref="D6:D7">
      <formula1>3.8</formula1>
      <formula2>4.67</formula2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horizontalDpi="300" verticalDpi="300" r:id="rId1"/>
  <colBreaks count="1" manualBreakCount="1">
    <brk id="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" sqref="B3"/>
    </sheetView>
  </sheetViews>
  <sheetFormatPr defaultRowHeight="12.7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Planilha orç.</vt:lpstr>
      <vt:lpstr>Memória de Cálculo</vt:lpstr>
      <vt:lpstr>Cronograma</vt:lpstr>
      <vt:lpstr>Composição</vt:lpstr>
      <vt:lpstr>BDI</vt:lpstr>
      <vt:lpstr>Planilha1</vt:lpstr>
      <vt:lpstr>Composição!Area_de_impressao</vt:lpstr>
      <vt:lpstr>Cronograma!Area_de_impressao</vt:lpstr>
      <vt:lpstr>'Memória de Cálculo'!Area_de_impressao</vt:lpstr>
      <vt:lpstr>'Planilha orç.'!Area_de_impressao</vt:lpstr>
    </vt:vector>
  </TitlesOfParts>
  <Company>Setop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Setop</dc:creator>
  <cp:lastModifiedBy>User</cp:lastModifiedBy>
  <cp:revision/>
  <cp:lastPrinted>2025-11-24T13:05:45Z</cp:lastPrinted>
  <dcterms:created xsi:type="dcterms:W3CDTF">2006-09-22T13:55:22Z</dcterms:created>
  <dcterms:modified xsi:type="dcterms:W3CDTF">2025-12-19T12:36:15Z</dcterms:modified>
</cp:coreProperties>
</file>