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defaultThemeVersion="124226"/>
  <mc:AlternateContent xmlns:mc="http://schemas.openxmlformats.org/markup-compatibility/2006">
    <mc:Choice Requires="x15">
      <x15ac:absPath xmlns:x15ac="http://schemas.microsoft.com/office/spreadsheetml/2010/11/ac" url="\\192.168.100.10\compras-sma\LICITAÇÕES 2025\CONCORRÊNCIAS 2025\FUNDAÇÃO PARQUE DO AREÃO\CONCORRÊNCIA 01-2025 FUNPPAV\Anexos\"/>
    </mc:Choice>
  </mc:AlternateContent>
  <bookViews>
    <workbookView xWindow="0" yWindow="0" windowWidth="28800" windowHeight="12180" tabRatio="865" activeTab="2"/>
  </bookViews>
  <sheets>
    <sheet name="Planilha" sheetId="12" r:id="rId1"/>
    <sheet name="Memória de cálculo" sheetId="13" r:id="rId2"/>
    <sheet name="Composição de custos" sheetId="14" r:id="rId3"/>
    <sheet name="Cotação" sheetId="18" r:id="rId4"/>
    <sheet name="Cronograma" sheetId="7" r:id="rId5"/>
    <sheet name="BDI (Serviço)" sheetId="17" r:id="rId6"/>
    <sheet name="BDI (Material)" sheetId="16" state="hidden" r:id="rId7"/>
    <sheet name="Plan1" sheetId="15" state="hidden" r:id="rId8"/>
  </sheets>
  <definedNames>
    <definedName name="_xlnm._FilterDatabase" localSheetId="2" hidden="1">'Composição de custos'!$I$10:$I$148</definedName>
    <definedName name="_xlnm._FilterDatabase" localSheetId="3" hidden="1">Cotação!$I$12:$I$21</definedName>
    <definedName name="_xlnm._FilterDatabase" localSheetId="0" hidden="1">Planilha!$B$11:$B$93</definedName>
    <definedName name="_xlnm.Print_Area" localSheetId="6">'BDI (Material)'!$A$1:$D$35</definedName>
    <definedName name="_xlnm.Print_Area" localSheetId="5">'BDI (Serviço)'!$A$1:$D$37</definedName>
    <definedName name="_xlnm.Print_Area" localSheetId="2">'Composição de custos'!$C$1:$H$148</definedName>
    <definedName name="_xlnm.Print_Area" localSheetId="3">Cotação!$C$1:$H$22</definedName>
    <definedName name="_xlnm.Print_Area" localSheetId="4">Cronograma!$A$1:$J$32</definedName>
    <definedName name="_xlnm.Print_Area" localSheetId="1">'Memória de cálculo'!$A$1:$K$319</definedName>
    <definedName name="_xlnm.Print_Area" localSheetId="0">Planilha!$A$1:$I$101</definedName>
    <definedName name="_xlnm.Print_Titles" localSheetId="1">'Memória de cálculo'!$10:$10</definedName>
    <definedName name="_xlnm.Print_Titles" localSheetId="0">Planilha!$10:$10</definedName>
  </definedNames>
  <calcPr calcId="162913" fullPrecision="0"/>
</workbook>
</file>

<file path=xl/calcChain.xml><?xml version="1.0" encoding="utf-8"?>
<calcChain xmlns="http://schemas.openxmlformats.org/spreadsheetml/2006/main">
  <c r="E14" i="7" l="1"/>
  <c r="H14" i="7"/>
  <c r="G14" i="7"/>
  <c r="F14" i="7"/>
  <c r="J23" i="7"/>
  <c r="J21" i="7"/>
  <c r="J19" i="7"/>
  <c r="J17" i="7"/>
  <c r="J15" i="7"/>
  <c r="J11" i="7"/>
  <c r="J9" i="7"/>
  <c r="F14" i="14"/>
  <c r="H14" i="14" s="1"/>
  <c r="H15" i="14" s="1"/>
  <c r="G15" i="12" s="1"/>
  <c r="H15" i="12" s="1"/>
  <c r="I15" i="12" s="1"/>
  <c r="I14" i="12" s="1"/>
  <c r="D12" i="7" s="1"/>
  <c r="F13" i="14"/>
  <c r="G7" i="14"/>
  <c r="E7" i="14"/>
  <c r="C7" i="14"/>
  <c r="G15" i="18"/>
  <c r="H15" i="18" s="1"/>
  <c r="H16" i="18" s="1"/>
  <c r="E12" i="18"/>
  <c r="D12" i="18"/>
  <c r="C12" i="18"/>
  <c r="H58" i="18"/>
  <c r="H57" i="18"/>
  <c r="H56" i="18"/>
  <c r="H55" i="18"/>
  <c r="H54" i="18"/>
  <c r="H53" i="18"/>
  <c r="F52" i="18"/>
  <c r="H52" i="18"/>
  <c r="F51" i="18"/>
  <c r="H51" i="18"/>
  <c r="H50" i="18"/>
  <c r="F49" i="18"/>
  <c r="H49" i="18" s="1"/>
  <c r="H48" i="18"/>
  <c r="H47" i="18"/>
  <c r="F46" i="18"/>
  <c r="H46" i="18" s="1"/>
  <c r="F45" i="18"/>
  <c r="H45" i="18" s="1"/>
  <c r="F44" i="18"/>
  <c r="H44" i="18" s="1"/>
  <c r="F43" i="18"/>
  <c r="H43" i="18"/>
  <c r="F42" i="18"/>
  <c r="H42" i="18" s="1"/>
  <c r="F41" i="18"/>
  <c r="H41" i="18"/>
  <c r="F40" i="18"/>
  <c r="H40" i="18" s="1"/>
  <c r="O38" i="18"/>
  <c r="O37" i="18"/>
  <c r="O36" i="18"/>
  <c r="O35" i="18"/>
  <c r="O34" i="18"/>
  <c r="O33" i="18"/>
  <c r="O32" i="18"/>
  <c r="O31" i="18"/>
  <c r="O30" i="18"/>
  <c r="L28" i="18"/>
  <c r="K28" i="18"/>
  <c r="J28" i="18"/>
  <c r="C6" i="18"/>
  <c r="C5" i="18"/>
  <c r="K193" i="13"/>
  <c r="K188" i="13"/>
  <c r="E182" i="13" s="1"/>
  <c r="K182" i="13" s="1"/>
  <c r="E176" i="13"/>
  <c r="K176" i="13"/>
  <c r="K306" i="13"/>
  <c r="F90" i="12"/>
  <c r="F91" i="12"/>
  <c r="K314" i="13"/>
  <c r="F92" i="12"/>
  <c r="E300" i="13"/>
  <c r="K300" i="13" s="1"/>
  <c r="K299" i="13"/>
  <c r="K298" i="13"/>
  <c r="K297" i="13"/>
  <c r="E283" i="13"/>
  <c r="K283" i="13"/>
  <c r="K292" i="13"/>
  <c r="K291" i="13"/>
  <c r="K290" i="13"/>
  <c r="K289" i="13"/>
  <c r="K281" i="13"/>
  <c r="K285" i="13" s="1"/>
  <c r="F87" i="12" s="1"/>
  <c r="I87" i="12" s="1"/>
  <c r="K282" i="13"/>
  <c r="K280" i="13"/>
  <c r="P289" i="13"/>
  <c r="M288" i="13"/>
  <c r="O288" i="13" s="1"/>
  <c r="P288" i="13" s="1"/>
  <c r="M287" i="13"/>
  <c r="K311" i="13"/>
  <c r="D311" i="13"/>
  <c r="K308" i="13"/>
  <c r="D308" i="13"/>
  <c r="B308" i="13"/>
  <c r="C308" i="13"/>
  <c r="B311" i="13"/>
  <c r="C311" i="13"/>
  <c r="A311" i="13"/>
  <c r="A308" i="13"/>
  <c r="D287" i="13"/>
  <c r="D303" i="13"/>
  <c r="K303" i="13"/>
  <c r="K295" i="13"/>
  <c r="D295" i="13"/>
  <c r="B303" i="13"/>
  <c r="C303" i="13"/>
  <c r="B295" i="13"/>
  <c r="C295" i="13"/>
  <c r="B287" i="13"/>
  <c r="C287" i="13"/>
  <c r="A303" i="13"/>
  <c r="A295" i="13"/>
  <c r="A287" i="13"/>
  <c r="K287" i="13"/>
  <c r="K278" i="13"/>
  <c r="D278" i="13"/>
  <c r="B278" i="13"/>
  <c r="C278" i="13"/>
  <c r="A278" i="13"/>
  <c r="D277" i="13"/>
  <c r="A277" i="13"/>
  <c r="B23" i="7"/>
  <c r="K144" i="13"/>
  <c r="G148" i="13" s="1"/>
  <c r="K148" i="13" s="1"/>
  <c r="K154" i="13" s="1"/>
  <c r="F43" i="12" s="1"/>
  <c r="I43" i="12" s="1"/>
  <c r="B19" i="7"/>
  <c r="B21" i="7"/>
  <c r="F81" i="14"/>
  <c r="H81" i="14"/>
  <c r="F101" i="14"/>
  <c r="H101" i="14"/>
  <c r="F114" i="14"/>
  <c r="H114" i="14"/>
  <c r="F113" i="14"/>
  <c r="H113" i="14" s="1"/>
  <c r="F80" i="12"/>
  <c r="F78" i="14"/>
  <c r="F79" i="14"/>
  <c r="H79" i="14"/>
  <c r="F73" i="14"/>
  <c r="H73" i="14"/>
  <c r="F97" i="14"/>
  <c r="H97" i="14" s="1"/>
  <c r="F96" i="14"/>
  <c r="F102" i="14" s="1"/>
  <c r="H102" i="14" s="1"/>
  <c r="F95" i="14"/>
  <c r="H95" i="14"/>
  <c r="F92" i="14"/>
  <c r="H92" i="14" s="1"/>
  <c r="F91" i="14"/>
  <c r="H91" i="14" s="1"/>
  <c r="F90" i="14"/>
  <c r="H90" i="14"/>
  <c r="F93" i="14"/>
  <c r="H93" i="14" s="1"/>
  <c r="F99" i="14"/>
  <c r="H99" i="14" s="1"/>
  <c r="F98" i="14"/>
  <c r="F100" i="14" s="1"/>
  <c r="H100" i="14" s="1"/>
  <c r="H98" i="14"/>
  <c r="F80" i="14"/>
  <c r="H80" i="14" s="1"/>
  <c r="F77" i="14"/>
  <c r="H77" i="14"/>
  <c r="F75" i="14"/>
  <c r="H75" i="14" s="1"/>
  <c r="F74" i="14"/>
  <c r="H74" i="14" s="1"/>
  <c r="F76" i="14"/>
  <c r="H76" i="14"/>
  <c r="C6" i="14"/>
  <c r="C5" i="14"/>
  <c r="E142" i="14"/>
  <c r="D142" i="14"/>
  <c r="C142" i="14"/>
  <c r="H144" i="14"/>
  <c r="G71" i="12" s="1"/>
  <c r="H71" i="12" s="1"/>
  <c r="F78" i="12"/>
  <c r="I78" i="12" s="1"/>
  <c r="F79" i="12"/>
  <c r="F81" i="12"/>
  <c r="F82" i="12"/>
  <c r="F84" i="12"/>
  <c r="F83" i="12"/>
  <c r="E107" i="14"/>
  <c r="D107" i="14"/>
  <c r="C107" i="14"/>
  <c r="H115" i="14"/>
  <c r="G116" i="14"/>
  <c r="H116" i="14" s="1"/>
  <c r="F110" i="14"/>
  <c r="H110" i="14"/>
  <c r="F112" i="14"/>
  <c r="H112" i="14" s="1"/>
  <c r="F111" i="14"/>
  <c r="H111" i="14"/>
  <c r="F109" i="14"/>
  <c r="H109" i="14"/>
  <c r="F118" i="14"/>
  <c r="H118" i="14"/>
  <c r="H117" i="14"/>
  <c r="K274" i="13"/>
  <c r="D274" i="13"/>
  <c r="B274" i="13"/>
  <c r="C274" i="13"/>
  <c r="A274" i="13"/>
  <c r="F135" i="14"/>
  <c r="H135" i="14"/>
  <c r="F130" i="14"/>
  <c r="H130" i="14"/>
  <c r="H139" i="14"/>
  <c r="E121" i="14"/>
  <c r="D121" i="14"/>
  <c r="C121" i="14"/>
  <c r="F129" i="14"/>
  <c r="H129" i="14"/>
  <c r="F127" i="14"/>
  <c r="H127" i="14" s="1"/>
  <c r="F126" i="14"/>
  <c r="F128" i="14"/>
  <c r="H128" i="14" s="1"/>
  <c r="F125" i="14"/>
  <c r="H125" i="14"/>
  <c r="F124" i="14"/>
  <c r="H124" i="14" s="1"/>
  <c r="F123" i="14"/>
  <c r="H123" i="14"/>
  <c r="F133" i="14"/>
  <c r="H133" i="14" s="1"/>
  <c r="H132" i="14"/>
  <c r="H131" i="14"/>
  <c r="H138" i="14"/>
  <c r="H137" i="14"/>
  <c r="F136" i="14"/>
  <c r="H136" i="14"/>
  <c r="F134" i="14"/>
  <c r="H134" i="14" s="1"/>
  <c r="E88" i="14"/>
  <c r="D88" i="14"/>
  <c r="C88" i="14"/>
  <c r="H104" i="14"/>
  <c r="H103" i="14"/>
  <c r="H94" i="14"/>
  <c r="E71" i="14"/>
  <c r="D71" i="14"/>
  <c r="C71" i="14"/>
  <c r="F68" i="14"/>
  <c r="H68" i="14"/>
  <c r="F65" i="14"/>
  <c r="H65" i="14"/>
  <c r="F64" i="14"/>
  <c r="H64" i="14"/>
  <c r="F63" i="14"/>
  <c r="H63" i="14"/>
  <c r="F66" i="14"/>
  <c r="H66" i="14" s="1"/>
  <c r="E61" i="14"/>
  <c r="D61" i="14"/>
  <c r="C61" i="14"/>
  <c r="E55" i="14"/>
  <c r="D55" i="14"/>
  <c r="C55" i="14"/>
  <c r="F72" i="12"/>
  <c r="I72" i="12" s="1"/>
  <c r="F71" i="12"/>
  <c r="F70" i="12"/>
  <c r="K234" i="13"/>
  <c r="F69" i="12"/>
  <c r="I69" i="12" s="1"/>
  <c r="F77" i="12"/>
  <c r="F76" i="12"/>
  <c r="F75" i="12"/>
  <c r="B270" i="13"/>
  <c r="B258" i="13"/>
  <c r="C258" i="13"/>
  <c r="D258" i="13"/>
  <c r="K258" i="13"/>
  <c r="K261" i="13"/>
  <c r="D261" i="13"/>
  <c r="B261" i="13"/>
  <c r="C261" i="13"/>
  <c r="K264" i="13"/>
  <c r="D264" i="13"/>
  <c r="B264" i="13"/>
  <c r="C264" i="13"/>
  <c r="K267" i="13"/>
  <c r="D267" i="13"/>
  <c r="B267" i="13"/>
  <c r="C267" i="13"/>
  <c r="K270" i="13"/>
  <c r="D270" i="13"/>
  <c r="C270" i="13"/>
  <c r="A270" i="13"/>
  <c r="A267" i="13"/>
  <c r="A264" i="13"/>
  <c r="A261" i="13"/>
  <c r="A258" i="13"/>
  <c r="K236" i="13"/>
  <c r="K239" i="13"/>
  <c r="K242" i="13"/>
  <c r="D242" i="13"/>
  <c r="D239" i="13"/>
  <c r="D236" i="13"/>
  <c r="B226" i="13"/>
  <c r="C226" i="13"/>
  <c r="B236" i="13"/>
  <c r="C236" i="13"/>
  <c r="B239" i="13"/>
  <c r="C239" i="13"/>
  <c r="B242" i="13"/>
  <c r="C242" i="13"/>
  <c r="A242" i="13"/>
  <c r="A239" i="13"/>
  <c r="A236" i="13"/>
  <c r="K226" i="13"/>
  <c r="D226" i="13"/>
  <c r="A226" i="13"/>
  <c r="D225" i="13"/>
  <c r="A225" i="13"/>
  <c r="K225" i="13"/>
  <c r="F57" i="12"/>
  <c r="K216" i="13"/>
  <c r="K219" i="13"/>
  <c r="K222" i="13"/>
  <c r="D222" i="13"/>
  <c r="D219" i="13"/>
  <c r="D216" i="13"/>
  <c r="B216" i="13"/>
  <c r="C216" i="13"/>
  <c r="B219" i="13"/>
  <c r="C219" i="13"/>
  <c r="B222" i="13"/>
  <c r="C222" i="13"/>
  <c r="A222" i="13"/>
  <c r="A219" i="13"/>
  <c r="A216" i="13"/>
  <c r="K223" i="13"/>
  <c r="F66" i="12" s="1"/>
  <c r="K220" i="13"/>
  <c r="F65" i="12" s="1"/>
  <c r="K217" i="13"/>
  <c r="F64" i="12" s="1"/>
  <c r="K213" i="13"/>
  <c r="D213" i="13"/>
  <c r="C213" i="13"/>
  <c r="B213" i="13"/>
  <c r="A213" i="13"/>
  <c r="K214" i="13"/>
  <c r="F63" i="12" s="1"/>
  <c r="D212" i="13"/>
  <c r="A212" i="13"/>
  <c r="F50" i="12"/>
  <c r="C47" i="14"/>
  <c r="D47" i="14"/>
  <c r="E47" i="14"/>
  <c r="H44" i="14"/>
  <c r="H45" i="14"/>
  <c r="G53" i="12" s="1"/>
  <c r="H53" i="12" s="1"/>
  <c r="I53" i="12" s="1"/>
  <c r="F49" i="12"/>
  <c r="E42" i="14"/>
  <c r="D42" i="14"/>
  <c r="C42" i="14"/>
  <c r="H13" i="14"/>
  <c r="H67" i="14"/>
  <c r="H84" i="14"/>
  <c r="H85" i="14"/>
  <c r="H83" i="14"/>
  <c r="K210" i="13"/>
  <c r="I203" i="13" s="1"/>
  <c r="K203" i="13" s="1"/>
  <c r="F58" i="12" s="1"/>
  <c r="K201" i="13"/>
  <c r="D201" i="13"/>
  <c r="K194" i="13"/>
  <c r="K195" i="13"/>
  <c r="F54" i="12"/>
  <c r="K189" i="13"/>
  <c r="E183" i="13" s="1"/>
  <c r="K183" i="13" s="1"/>
  <c r="K190" i="13"/>
  <c r="F53" i="12"/>
  <c r="K209" i="13"/>
  <c r="D209" i="13"/>
  <c r="K205" i="13"/>
  <c r="D205" i="13"/>
  <c r="B209" i="13"/>
  <c r="C209" i="13"/>
  <c r="B205" i="13"/>
  <c r="C205" i="13"/>
  <c r="B201" i="13"/>
  <c r="C201" i="13"/>
  <c r="B198" i="13"/>
  <c r="C198" i="13"/>
  <c r="A209" i="13"/>
  <c r="A205" i="13"/>
  <c r="A201" i="13"/>
  <c r="K198" i="13"/>
  <c r="D198" i="13"/>
  <c r="A198" i="13"/>
  <c r="D197" i="13"/>
  <c r="A197" i="13"/>
  <c r="K192" i="13"/>
  <c r="D192" i="13"/>
  <c r="K186" i="13"/>
  <c r="D186" i="13"/>
  <c r="K174" i="13"/>
  <c r="D174" i="13"/>
  <c r="D171" i="13"/>
  <c r="K171" i="13"/>
  <c r="B180" i="13"/>
  <c r="C180" i="13"/>
  <c r="B186" i="13"/>
  <c r="C186" i="13"/>
  <c r="B192" i="13"/>
  <c r="C192" i="13"/>
  <c r="A192" i="13"/>
  <c r="A186" i="13"/>
  <c r="A180" i="13"/>
  <c r="K180" i="13"/>
  <c r="D180" i="13"/>
  <c r="B174" i="13"/>
  <c r="C174" i="13"/>
  <c r="A174" i="13"/>
  <c r="B171" i="13"/>
  <c r="C171" i="13"/>
  <c r="A171" i="13"/>
  <c r="K168" i="13"/>
  <c r="D168" i="13"/>
  <c r="C168" i="13"/>
  <c r="B168" i="13"/>
  <c r="A168" i="13"/>
  <c r="D167" i="13"/>
  <c r="A167" i="13"/>
  <c r="D166" i="13"/>
  <c r="A166" i="13"/>
  <c r="K118" i="13"/>
  <c r="K119" i="13"/>
  <c r="K159" i="13"/>
  <c r="K158" i="13"/>
  <c r="K162" i="13"/>
  <c r="D162" i="13"/>
  <c r="K156" i="13"/>
  <c r="D156" i="13"/>
  <c r="B156" i="13"/>
  <c r="C156" i="13"/>
  <c r="B162" i="13"/>
  <c r="C162" i="13"/>
  <c r="A162" i="13"/>
  <c r="A156" i="13"/>
  <c r="B146" i="13"/>
  <c r="C146" i="13"/>
  <c r="K146" i="13"/>
  <c r="D146" i="13"/>
  <c r="A146" i="13"/>
  <c r="K137" i="13"/>
  <c r="F41" i="12"/>
  <c r="I41" i="12" s="1"/>
  <c r="K128" i="13"/>
  <c r="F40" i="12" s="1"/>
  <c r="I40" i="12" s="1"/>
  <c r="D130" i="13"/>
  <c r="K130" i="13"/>
  <c r="L117" i="13"/>
  <c r="L116" i="13"/>
  <c r="L115" i="13"/>
  <c r="L114" i="13"/>
  <c r="L113" i="13"/>
  <c r="B130" i="13"/>
  <c r="C130" i="13"/>
  <c r="A130" i="13"/>
  <c r="K121" i="13"/>
  <c r="D121" i="13"/>
  <c r="B121" i="13"/>
  <c r="C121" i="13"/>
  <c r="A121" i="13"/>
  <c r="K52" i="13"/>
  <c r="K53" i="13"/>
  <c r="K54" i="13"/>
  <c r="K55" i="13"/>
  <c r="K56" i="13"/>
  <c r="K51" i="13"/>
  <c r="G25" i="13"/>
  <c r="K25" i="13"/>
  <c r="G26" i="13"/>
  <c r="K26" i="13" s="1"/>
  <c r="G27" i="13"/>
  <c r="K27" i="13" s="1"/>
  <c r="G28" i="13"/>
  <c r="K28" i="13" s="1"/>
  <c r="G29" i="13"/>
  <c r="K29" i="13"/>
  <c r="G24" i="13"/>
  <c r="K24" i="13" s="1"/>
  <c r="H39" i="14"/>
  <c r="F37" i="14"/>
  <c r="H37" i="14" s="1"/>
  <c r="I37" i="14"/>
  <c r="F36" i="14"/>
  <c r="H36" i="14" s="1"/>
  <c r="I36" i="14"/>
  <c r="F38" i="14"/>
  <c r="H38" i="14"/>
  <c r="F30" i="14"/>
  <c r="H30" i="14"/>
  <c r="F33" i="14"/>
  <c r="H33" i="14"/>
  <c r="F34" i="14"/>
  <c r="H34" i="14" s="1"/>
  <c r="F32" i="14"/>
  <c r="H32" i="14"/>
  <c r="F31" i="14"/>
  <c r="H31" i="14"/>
  <c r="H25" i="14"/>
  <c r="F24" i="14"/>
  <c r="H24" i="14"/>
  <c r="F20" i="14"/>
  <c r="H20" i="14" s="1"/>
  <c r="F21" i="14"/>
  <c r="H21" i="14"/>
  <c r="F22" i="14"/>
  <c r="H22" i="14" s="1"/>
  <c r="A84" i="13"/>
  <c r="D84" i="13"/>
  <c r="A85" i="13"/>
  <c r="B85" i="13"/>
  <c r="C85" i="13"/>
  <c r="D85" i="13"/>
  <c r="K85" i="13"/>
  <c r="K87" i="13"/>
  <c r="K88" i="13"/>
  <c r="F33" i="12"/>
  <c r="I33" i="12" s="1"/>
  <c r="K71" i="13"/>
  <c r="K72" i="13"/>
  <c r="K73" i="13"/>
  <c r="K74" i="13"/>
  <c r="K75" i="13"/>
  <c r="K76" i="13"/>
  <c r="K77" i="13"/>
  <c r="K78" i="13"/>
  <c r="K79" i="13"/>
  <c r="K80" i="13"/>
  <c r="K81" i="13"/>
  <c r="K70" i="13"/>
  <c r="K17" i="13"/>
  <c r="K68" i="13"/>
  <c r="D68" i="13"/>
  <c r="A68" i="13"/>
  <c r="B68" i="13"/>
  <c r="C68" i="13"/>
  <c r="K65" i="13"/>
  <c r="K64" i="13"/>
  <c r="K63" i="13"/>
  <c r="K62" i="13"/>
  <c r="K61" i="13"/>
  <c r="K50" i="13"/>
  <c r="K49" i="13"/>
  <c r="K48" i="13"/>
  <c r="K47" i="13"/>
  <c r="K46" i="13"/>
  <c r="K45" i="13"/>
  <c r="K57" i="13" s="1"/>
  <c r="K44" i="13"/>
  <c r="K18" i="13"/>
  <c r="K19" i="13"/>
  <c r="K20" i="13"/>
  <c r="K21" i="13"/>
  <c r="K22" i="13"/>
  <c r="K23" i="13"/>
  <c r="F50" i="14"/>
  <c r="H50" i="14" s="1"/>
  <c r="H51" i="14"/>
  <c r="H52" i="14"/>
  <c r="H49" i="14"/>
  <c r="I31" i="14"/>
  <c r="I14" i="14"/>
  <c r="I13" i="14"/>
  <c r="A59" i="15"/>
  <c r="B59" i="15"/>
  <c r="F59" i="15"/>
  <c r="B60" i="15"/>
  <c r="C60" i="15"/>
  <c r="F60" i="15"/>
  <c r="B61" i="15"/>
  <c r="C61" i="15"/>
  <c r="F61" i="15"/>
  <c r="I61" i="15"/>
  <c r="B62" i="15"/>
  <c r="C62" i="15"/>
  <c r="B63" i="15"/>
  <c r="C63" i="15"/>
  <c r="C64" i="15"/>
  <c r="F64" i="15"/>
  <c r="B65" i="15"/>
  <c r="C65" i="15"/>
  <c r="F65" i="15"/>
  <c r="F66" i="15"/>
  <c r="B67" i="15"/>
  <c r="K70" i="15"/>
  <c r="A1" i="16"/>
  <c r="A4" i="16"/>
  <c r="A5" i="16"/>
  <c r="C23" i="16"/>
  <c r="C24" i="16"/>
  <c r="D23" i="16" s="1"/>
  <c r="A5" i="17"/>
  <c r="A6" i="17"/>
  <c r="C14" i="17"/>
  <c r="C24" i="17" s="1"/>
  <c r="D24" i="17" s="1"/>
  <c r="C17" i="17"/>
  <c r="C25" i="17"/>
  <c r="A4" i="7"/>
  <c r="A5" i="7"/>
  <c r="A6" i="7"/>
  <c r="B9" i="7"/>
  <c r="B15" i="7"/>
  <c r="B17" i="7"/>
  <c r="C18" i="14"/>
  <c r="D18" i="14"/>
  <c r="I21" i="14"/>
  <c r="I22" i="14"/>
  <c r="F23" i="14"/>
  <c r="H23" i="14" s="1"/>
  <c r="I23" i="14"/>
  <c r="C28" i="14"/>
  <c r="D28" i="14"/>
  <c r="I30" i="14"/>
  <c r="I32" i="14"/>
  <c r="I33" i="14"/>
  <c r="I34" i="14"/>
  <c r="H35" i="14"/>
  <c r="I35" i="14"/>
  <c r="I44" i="14"/>
  <c r="I49" i="14"/>
  <c r="I50" i="14"/>
  <c r="I51" i="14"/>
  <c r="I52" i="14"/>
  <c r="H57" i="14"/>
  <c r="H59" i="14" s="1"/>
  <c r="G65" i="12" s="1"/>
  <c r="H65" i="12" s="1"/>
  <c r="I57" i="14"/>
  <c r="H58" i="14"/>
  <c r="I58" i="14"/>
  <c r="A5" i="13"/>
  <c r="H5" i="13"/>
  <c r="J5" i="13"/>
  <c r="A6" i="13"/>
  <c r="A7" i="13"/>
  <c r="A8" i="13"/>
  <c r="A13" i="13"/>
  <c r="D13" i="13"/>
  <c r="A14" i="13"/>
  <c r="D14" i="13"/>
  <c r="A15" i="13"/>
  <c r="B15" i="13"/>
  <c r="C15" i="13"/>
  <c r="D15" i="13"/>
  <c r="K15" i="13"/>
  <c r="A32" i="13"/>
  <c r="B32" i="13"/>
  <c r="C32" i="13"/>
  <c r="D32" i="13"/>
  <c r="K32" i="13"/>
  <c r="A35" i="13"/>
  <c r="B35" i="13"/>
  <c r="C35" i="13"/>
  <c r="D35" i="13"/>
  <c r="K35" i="13"/>
  <c r="A42" i="13"/>
  <c r="B42" i="13"/>
  <c r="C42" i="13"/>
  <c r="D42" i="13"/>
  <c r="K42" i="13"/>
  <c r="A59" i="13"/>
  <c r="B59" i="13"/>
  <c r="C59" i="13"/>
  <c r="D59" i="13"/>
  <c r="K59" i="13"/>
  <c r="A90" i="13"/>
  <c r="B90" i="13"/>
  <c r="C90" i="13"/>
  <c r="D90" i="13"/>
  <c r="K90" i="13"/>
  <c r="A95" i="13"/>
  <c r="B95" i="13"/>
  <c r="C95" i="13"/>
  <c r="D95" i="13"/>
  <c r="K95" i="13"/>
  <c r="A100" i="13"/>
  <c r="D100" i="13"/>
  <c r="A101" i="13"/>
  <c r="B101" i="13"/>
  <c r="C101" i="13"/>
  <c r="D101" i="13"/>
  <c r="K101" i="13"/>
  <c r="K109" i="13"/>
  <c r="F38" i="12" s="1"/>
  <c r="A111" i="13"/>
  <c r="B111" i="13"/>
  <c r="C111" i="13"/>
  <c r="D111" i="13"/>
  <c r="K111" i="13"/>
  <c r="I119" i="13"/>
  <c r="I128" i="13" s="1"/>
  <c r="I137" i="13" s="1"/>
  <c r="A139" i="13"/>
  <c r="B139" i="13"/>
  <c r="C139" i="13"/>
  <c r="D139" i="13"/>
  <c r="K139" i="13"/>
  <c r="A245" i="13"/>
  <c r="D245" i="13"/>
  <c r="A246" i="13"/>
  <c r="B246" i="13"/>
  <c r="C246" i="13"/>
  <c r="D246" i="13"/>
  <c r="K246" i="13"/>
  <c r="A249" i="13"/>
  <c r="B249" i="13"/>
  <c r="C249" i="13"/>
  <c r="D249" i="13"/>
  <c r="K249" i="13"/>
  <c r="A252" i="13"/>
  <c r="B252" i="13"/>
  <c r="C252" i="13"/>
  <c r="D252" i="13"/>
  <c r="K252" i="13"/>
  <c r="A255" i="13"/>
  <c r="B255" i="13"/>
  <c r="C255" i="13"/>
  <c r="D255" i="13"/>
  <c r="K255" i="13"/>
  <c r="K160" i="13"/>
  <c r="F44" i="12" s="1"/>
  <c r="I44" i="12" s="1"/>
  <c r="F42" i="12"/>
  <c r="I42" i="12" s="1"/>
  <c r="H126" i="14"/>
  <c r="H78" i="14"/>
  <c r="H92" i="12"/>
  <c r="H58" i="12"/>
  <c r="H66" i="12"/>
  <c r="H45" i="12"/>
  <c r="H90" i="12"/>
  <c r="H69" i="12"/>
  <c r="H26" i="12"/>
  <c r="H59" i="12"/>
  <c r="H21" i="12"/>
  <c r="I21" i="12"/>
  <c r="H19" i="12"/>
  <c r="I19" i="12" s="1"/>
  <c r="H91" i="12"/>
  <c r="I91" i="12"/>
  <c r="H72" i="12"/>
  <c r="H64" i="12"/>
  <c r="H78" i="12"/>
  <c r="H20" i="12"/>
  <c r="I20" i="12" s="1"/>
  <c r="H52" i="12"/>
  <c r="H25" i="12"/>
  <c r="H35" i="12"/>
  <c r="I35" i="12"/>
  <c r="H29" i="12"/>
  <c r="H63" i="12"/>
  <c r="H41" i="12"/>
  <c r="H89" i="12"/>
  <c r="H40" i="12"/>
  <c r="H42" i="12"/>
  <c r="H57" i="12"/>
  <c r="H33" i="12"/>
  <c r="H27" i="12"/>
  <c r="H75" i="12"/>
  <c r="I75" i="12" s="1"/>
  <c r="H76" i="12"/>
  <c r="I76" i="12" s="1"/>
  <c r="H50" i="12"/>
  <c r="I50" i="12" s="1"/>
  <c r="H34" i="12"/>
  <c r="I34" i="12"/>
  <c r="H88" i="12"/>
  <c r="H44" i="12"/>
  <c r="H87" i="12"/>
  <c r="H18" i="12"/>
  <c r="I18" i="12"/>
  <c r="H82" i="12"/>
  <c r="I82" i="12" s="1"/>
  <c r="H30" i="12"/>
  <c r="H28" i="12"/>
  <c r="H70" i="12"/>
  <c r="I70" i="12" s="1"/>
  <c r="H49" i="12"/>
  <c r="I49" i="12" s="1"/>
  <c r="H77" i="12"/>
  <c r="I77" i="12" s="1"/>
  <c r="H43" i="12"/>
  <c r="H51" i="12"/>
  <c r="K66" i="13"/>
  <c r="K33" i="13" s="1"/>
  <c r="F39" i="12"/>
  <c r="K164" i="13"/>
  <c r="F45" i="12"/>
  <c r="I45" i="12" s="1"/>
  <c r="I92" i="13"/>
  <c r="K92" i="13" s="1"/>
  <c r="K93" i="13" s="1"/>
  <c r="G97" i="13" s="1"/>
  <c r="K97" i="13" s="1"/>
  <c r="K98" i="13" s="1"/>
  <c r="E39" i="13" l="1"/>
  <c r="K39" i="13" s="1"/>
  <c r="F28" i="12"/>
  <c r="I28" i="12" s="1"/>
  <c r="H40" i="14"/>
  <c r="G39" i="12" s="1"/>
  <c r="H39" i="12" s="1"/>
  <c r="I58" i="12"/>
  <c r="H119" i="14"/>
  <c r="G83" i="12" s="1"/>
  <c r="H83" i="12" s="1"/>
  <c r="I83" i="12" s="1"/>
  <c r="I32" i="12"/>
  <c r="K301" i="13"/>
  <c r="F89" i="12" s="1"/>
  <c r="I89" i="12" s="1"/>
  <c r="I86" i="12" s="1"/>
  <c r="D24" i="7" s="1"/>
  <c r="F24" i="7" s="1"/>
  <c r="J24" i="7" s="1"/>
  <c r="I92" i="12"/>
  <c r="K82" i="13"/>
  <c r="F30" i="12" s="1"/>
  <c r="I30" i="12" s="1"/>
  <c r="I17" i="12"/>
  <c r="D14" i="7" s="1"/>
  <c r="F13" i="7" s="1"/>
  <c r="I57" i="12"/>
  <c r="G60" i="12"/>
  <c r="H60" i="12" s="1"/>
  <c r="H69" i="14"/>
  <c r="G79" i="12" s="1"/>
  <c r="H79" i="12" s="1"/>
  <c r="I79" i="12" s="1"/>
  <c r="F82" i="14"/>
  <c r="H82" i="14" s="1"/>
  <c r="K293" i="13"/>
  <c r="F88" i="12" s="1"/>
  <c r="I88" i="12" s="1"/>
  <c r="O39" i="18"/>
  <c r="E177" i="13"/>
  <c r="K177" i="13" s="1"/>
  <c r="I90" i="12"/>
  <c r="J14" i="7"/>
  <c r="E38" i="13"/>
  <c r="K38" i="13" s="1"/>
  <c r="F26" i="12"/>
  <c r="I26" i="12" s="1"/>
  <c r="H86" i="14"/>
  <c r="G80" i="12" s="1"/>
  <c r="H80" i="12" s="1"/>
  <c r="I80" i="12" s="1"/>
  <c r="H26" i="14"/>
  <c r="G38" i="12" s="1"/>
  <c r="H38" i="12" s="1"/>
  <c r="I38" i="12" s="1"/>
  <c r="I37" i="12" s="1"/>
  <c r="K184" i="13"/>
  <c r="F52" i="12" s="1"/>
  <c r="I52" i="12" s="1"/>
  <c r="H53" i="14"/>
  <c r="G54" i="12" s="1"/>
  <c r="H54" i="12" s="1"/>
  <c r="I54" i="12" s="1"/>
  <c r="H140" i="14"/>
  <c r="G84" i="12" s="1"/>
  <c r="H84" i="12" s="1"/>
  <c r="I84" i="12" s="1"/>
  <c r="K30" i="13"/>
  <c r="E40" i="13" s="1"/>
  <c r="K178" i="13"/>
  <c r="F51" i="12" s="1"/>
  <c r="I51" i="12" s="1"/>
  <c r="F29" i="12"/>
  <c r="I29" i="12" s="1"/>
  <c r="I39" i="12"/>
  <c r="F60" i="12"/>
  <c r="I60" i="12" s="1"/>
  <c r="I207" i="13"/>
  <c r="K207" i="13" s="1"/>
  <c r="F59" i="12" s="1"/>
  <c r="I59" i="12" s="1"/>
  <c r="I64" i="12"/>
  <c r="H96" i="14"/>
  <c r="H105" i="14" s="1"/>
  <c r="G81" i="12" s="1"/>
  <c r="H81" i="12" s="1"/>
  <c r="I81" i="12" s="1"/>
  <c r="I65" i="12"/>
  <c r="I71" i="12"/>
  <c r="I68" i="12" s="1"/>
  <c r="D20" i="7" s="1"/>
  <c r="G20" i="7" s="1"/>
  <c r="I63" i="12"/>
  <c r="I62" i="12" s="1"/>
  <c r="I66" i="12"/>
  <c r="H12" i="7"/>
  <c r="G12" i="7"/>
  <c r="F12" i="7"/>
  <c r="E12" i="7"/>
  <c r="J12" i="7" s="1"/>
  <c r="H13" i="7"/>
  <c r="G13" i="7" l="1"/>
  <c r="I48" i="12"/>
  <c r="E13" i="7"/>
  <c r="I56" i="12"/>
  <c r="I47" i="12" s="1"/>
  <c r="D18" i="7" s="1"/>
  <c r="I74" i="12"/>
  <c r="D22" i="7" s="1"/>
  <c r="G22" i="7" s="1"/>
  <c r="J13" i="7"/>
  <c r="H20" i="7"/>
  <c r="J20" i="7" s="1"/>
  <c r="K40" i="13"/>
  <c r="F27" i="12" s="1"/>
  <c r="I27" i="12" s="1"/>
  <c r="F25" i="12"/>
  <c r="I25" i="12" s="1"/>
  <c r="E37" i="13"/>
  <c r="K37" i="13" s="1"/>
  <c r="F18" i="7" l="1"/>
  <c r="G18" i="7"/>
  <c r="H18" i="7"/>
  <c r="H22" i="7"/>
  <c r="J22" i="7" s="1"/>
  <c r="I24" i="12"/>
  <c r="I23" i="12" s="1"/>
  <c r="J18" i="7"/>
  <c r="D16" i="7" l="1"/>
  <c r="H12" i="12"/>
  <c r="I12" i="12" l="1"/>
  <c r="I11" i="12" s="1"/>
  <c r="G12" i="12"/>
  <c r="H16" i="7"/>
  <c r="E16" i="7"/>
  <c r="F16" i="7"/>
  <c r="F26" i="7" s="1"/>
  <c r="G16" i="7"/>
  <c r="G26" i="7" s="1"/>
  <c r="J16" i="7" l="1"/>
  <c r="I94" i="12"/>
  <c r="E6" i="7" s="1"/>
  <c r="D10" i="7"/>
  <c r="H10" i="7" l="1"/>
  <c r="H26" i="7" s="1"/>
  <c r="H25" i="7" s="1"/>
  <c r="D26" i="7"/>
  <c r="E10" i="7"/>
  <c r="D19" i="7" l="1"/>
  <c r="D15" i="7"/>
  <c r="D23" i="7"/>
  <c r="D13" i="7"/>
  <c r="G25" i="7"/>
  <c r="D11" i="7"/>
  <c r="F25" i="7"/>
  <c r="D21" i="7"/>
  <c r="D17" i="7"/>
  <c r="J10" i="7"/>
  <c r="E26" i="7"/>
  <c r="D9" i="7"/>
  <c r="D25" i="7" l="1"/>
  <c r="J26" i="7"/>
  <c r="E25" i="7"/>
  <c r="J25" i="7" s="1"/>
</calcChain>
</file>

<file path=xl/sharedStrings.xml><?xml version="1.0" encoding="utf-8"?>
<sst xmlns="http://schemas.openxmlformats.org/spreadsheetml/2006/main" count="1396" uniqueCount="455">
  <si>
    <t>ITEM</t>
  </si>
  <si>
    <t>DESCRIÇÃO</t>
  </si>
  <si>
    <t>CÓDIGO</t>
  </si>
  <si>
    <t>PREÇO TOTAL</t>
  </si>
  <si>
    <t>1.1</t>
  </si>
  <si>
    <t>2.1</t>
  </si>
  <si>
    <t>M²</t>
  </si>
  <si>
    <t>M³</t>
  </si>
  <si>
    <t>ETAPAS/DESCRIÇÃO</t>
  </si>
  <si>
    <t>FÍSICO/ FINANCEIRO</t>
  </si>
  <si>
    <t>TOTAL  ETAPAS</t>
  </si>
  <si>
    <t>MÊS 1</t>
  </si>
  <si>
    <t>MÊS 2</t>
  </si>
  <si>
    <t>Físico %</t>
  </si>
  <si>
    <t>Financeiro</t>
  </si>
  <si>
    <t>TOTAL</t>
  </si>
  <si>
    <t>4.1</t>
  </si>
  <si>
    <t>QUANT.</t>
  </si>
  <si>
    <t>AC</t>
  </si>
  <si>
    <t>R</t>
  </si>
  <si>
    <t>DF</t>
  </si>
  <si>
    <t>L</t>
  </si>
  <si>
    <t>TRIBUTOS</t>
  </si>
  <si>
    <t>ISS</t>
  </si>
  <si>
    <t>VALOR DA OBRA:</t>
  </si>
  <si>
    <t>DISCRIMINAÇÃO DAS PARCELAS</t>
  </si>
  <si>
    <t>SIGLA</t>
  </si>
  <si>
    <t>PERCENTUAL DE INCIDÊNCIA</t>
  </si>
  <si>
    <t>INCIDÊNCIA</t>
  </si>
  <si>
    <t>CUSTO DIRETO</t>
  </si>
  <si>
    <t>CD</t>
  </si>
  <si>
    <t>ADMINISTRAÇÃO CENTRAL</t>
  </si>
  <si>
    <t>LUCRO</t>
  </si>
  <si>
    <t>DESPESAS FINANCEIRAS</t>
  </si>
  <si>
    <t>SEGUROS, GARANTIAS E RISCO</t>
  </si>
  <si>
    <t>(S + R)</t>
  </si>
  <si>
    <t>SEGUROS + GARANTIAS</t>
  </si>
  <si>
    <t>S</t>
  </si>
  <si>
    <t>RISCO</t>
  </si>
  <si>
    <t>I</t>
  </si>
  <si>
    <t>PV</t>
  </si>
  <si>
    <t>PIS</t>
  </si>
  <si>
    <t>COFINS</t>
  </si>
  <si>
    <t>CPRB</t>
  </si>
  <si>
    <t>INSS</t>
  </si>
  <si>
    <t>FÓRMULA DO BDI</t>
  </si>
  <si>
    <t>(1 + (AC + S + G + R)) x (1 + DF) x  (1 + L)</t>
  </si>
  <si>
    <t>(1 - (I + CPRB))</t>
  </si>
  <si>
    <t>CÁLCULO DO BDI</t>
  </si>
  <si>
    <t>BDI      =</t>
  </si>
  <si>
    <t>ADMINISTRAÇÃO LOCAL</t>
  </si>
  <si>
    <t>x</t>
  </si>
  <si>
    <t>=</t>
  </si>
  <si>
    <t xml:space="preserve">MOBILIZAÇÃO E DESMOBILIZAÇÃO DE OBRA </t>
  </si>
  <si>
    <t>MOBILIZAÇÃO E DESMOBILIZAÇÃO DE OBRA EM CENTRO URBANO OU REGIÃO LIMÍTROFE COM VALOR ATÉ O VALOR DE 1.000.000,00</t>
  </si>
  <si>
    <t>MÊS</t>
  </si>
  <si>
    <t>PLANILHA ORÇAMENTÁRIA DE CUSTOS</t>
  </si>
  <si>
    <t xml:space="preserve">FORMA DE EXECUÇÃO: </t>
  </si>
  <si>
    <t>(    )</t>
  </si>
  <si>
    <t>DIRETA</t>
  </si>
  <si>
    <t>(  X  )</t>
  </si>
  <si>
    <t>INDIRETA</t>
  </si>
  <si>
    <t>ISS =</t>
  </si>
  <si>
    <t>BDI=</t>
  </si>
  <si>
    <t>ENCARREGADO GERAL DE OBRAS COM ENCARGOS COMPLEMENTARES</t>
  </si>
  <si>
    <t xml:space="preserve"> CRONOGRAMA FÍSICO-FINANCEIRO</t>
  </si>
  <si>
    <t>MEMÓRIA DE CÁLCULO</t>
  </si>
  <si>
    <t>.</t>
  </si>
  <si>
    <t>3.1</t>
  </si>
  <si>
    <t>MÊS 3</t>
  </si>
  <si>
    <t>DATA:</t>
  </si>
  <si>
    <r>
      <rPr>
        <b/>
        <sz val="8"/>
        <rFont val="Arial Narrow"/>
        <family val="2"/>
      </rPr>
      <t>AC | Administração Central</t>
    </r>
    <r>
      <rPr>
        <sz val="8"/>
        <rFont val="Arial Narrow"/>
        <family val="2"/>
      </rPr>
      <t xml:space="preserve"> - Percentual incluído no contrato para suprir gastos gerais que a empresa efetua com a sua administração, tais como: aluguel da sede, salários dos funcionários da sede, material de expediente, entre outros.</t>
    </r>
  </si>
  <si>
    <r>
      <rPr>
        <b/>
        <sz val="8"/>
        <rFont val="Arial Narrow"/>
        <family val="2"/>
      </rPr>
      <t>DF | Despesas Financeiras</t>
    </r>
    <r>
      <rPr>
        <sz val="8"/>
        <rFont val="Arial Narrow"/>
        <family val="2"/>
      </rPr>
      <t xml:space="preserve"> - Despesas financeiras são gastos relacionados à perda monetária decorrente da defasagem entre a data do efetivo desembolso e a data da receita correspondente.</t>
    </r>
  </si>
  <si>
    <r>
      <rPr>
        <b/>
        <sz val="8"/>
        <rFont val="Arial Narrow"/>
        <family val="2"/>
      </rPr>
      <t>R | Garantias, Riscos, Seguros e Imprevistos</t>
    </r>
    <r>
      <rPr>
        <sz val="8"/>
        <rFont val="Arial Narrow"/>
        <family val="2"/>
      </rPr>
      <t xml:space="preserve"> - Percentual incluído no contrato para suprir gastos com imprevistos, riscos etc.</t>
    </r>
  </si>
  <si>
    <r>
      <rPr>
        <b/>
        <sz val="8"/>
        <rFont val="Arial Narrow"/>
        <family val="2"/>
      </rPr>
      <t>L | Lucro</t>
    </r>
    <r>
      <rPr>
        <sz val="8"/>
        <rFont val="Arial Narrow"/>
        <family val="2"/>
      </rPr>
      <t xml:space="preserve"> - Percentual incluído no contrato referente ao lucro pretendido.</t>
    </r>
  </si>
  <si>
    <r>
      <rPr>
        <b/>
        <sz val="8"/>
        <rFont val="Arial Narrow"/>
        <family val="2"/>
      </rPr>
      <t>T | Tributos</t>
    </r>
    <r>
      <rPr>
        <sz val="8"/>
        <rFont val="Arial Narrow"/>
        <family val="2"/>
      </rPr>
      <t xml:space="preserve"> - Somatório do COFINS, PIS, ISS e INSS</t>
    </r>
  </si>
  <si>
    <t>M3</t>
  </si>
  <si>
    <t>4.2</t>
  </si>
  <si>
    <t>DEMONSTRATIVO DE BDI - SEM DESONERAÇÃO - OBRA RODOVIÁRIA</t>
  </si>
  <si>
    <t>PLANILHA DE COMPOSIÇÃO DE CUSTO UNITÁRIO</t>
  </si>
  <si>
    <t>UNIDADE</t>
  </si>
  <si>
    <t>UNIT. (R$)</t>
  </si>
  <si>
    <t>X</t>
  </si>
  <si>
    <t>VOLUME</t>
  </si>
  <si>
    <t>DIST. (KM)</t>
  </si>
  <si>
    <t>COMP. (M)</t>
  </si>
  <si>
    <t>ÁREA (M2)</t>
  </si>
  <si>
    <t>CPU-001</t>
  </si>
  <si>
    <t>LARG. (M)</t>
  </si>
  <si>
    <t>CREA-MG</t>
  </si>
  <si>
    <t>ENG. CIVIL JOÃO PAULO SILVA RODRIGUES</t>
  </si>
  <si>
    <t>204.411/D</t>
  </si>
  <si>
    <t>INCIDÊNCIA DE ISS EM 70% DO PREÇO DE VENDA, COM PERCENTUAIS DE 2%, 3%, 4% E 5%</t>
  </si>
  <si>
    <t>BDI MATERIAL (CONFORME ACÓRDÃO Nº 2622/13 e LEI Nº 13.161 DE 31/08/15)</t>
  </si>
  <si>
    <t>BDI SERVIÇOS(CONFORME ACÓRDÃO Nº 2622/13 e LEI Nº 13.161 DE 31/08/15)</t>
  </si>
  <si>
    <t xml:space="preserve">UN </t>
  </si>
  <si>
    <t>4.3</t>
  </si>
  <si>
    <t>M³xKM</t>
  </si>
  <si>
    <t>M</t>
  </si>
  <si>
    <t>COMPOSIÇÃO</t>
  </si>
  <si>
    <t>CPU-002</t>
  </si>
  <si>
    <t xml:space="preserve">CÓDIGO </t>
  </si>
  <si>
    <t>DESCRIÇÃO DO SERVIÇO</t>
  </si>
  <si>
    <t>ED-50392</t>
  </si>
  <si>
    <t>ENGENHEIRO CIVIL DE OBRA JUNIOR COM ENCARGOS COMPLEMENTARES</t>
  </si>
  <si>
    <t>CPU-003</t>
  </si>
  <si>
    <t>EMPOLAMENTO</t>
  </si>
  <si>
    <t>5.1</t>
  </si>
  <si>
    <t>ÁREA (M²)</t>
  </si>
  <si>
    <t>PROF. (M)</t>
  </si>
  <si>
    <t>4.1.1</t>
  </si>
  <si>
    <t>4.1.2</t>
  </si>
  <si>
    <t>4.1.3</t>
  </si>
  <si>
    <t>4.1.4</t>
  </si>
  <si>
    <t>4.1.5</t>
  </si>
  <si>
    <t>4.2.1</t>
  </si>
  <si>
    <t>4.2.3</t>
  </si>
  <si>
    <t>4.3.3</t>
  </si>
  <si>
    <t>4.3.4</t>
  </si>
  <si>
    <t>5.2</t>
  </si>
  <si>
    <t>CREA MG</t>
  </si>
  <si>
    <t>PEDREIRO COM ENCARGOS COMPLEMENTARES</t>
  </si>
  <si>
    <t>H</t>
  </si>
  <si>
    <t>CPU-007</t>
  </si>
  <si>
    <t>CPU-008</t>
  </si>
  <si>
    <t>CPU-009</t>
  </si>
  <si>
    <t>ELETRICISTA COM ENCARGOS COMPLEMENTARES</t>
  </si>
  <si>
    <t>APILOAMENTO MANUAL EM FUNDO DE VALA COM SOQUETE, EXCLUSIVE ESCAVAÇÃO</t>
  </si>
  <si>
    <t>LASTRO COM MATERIAL GRANULAR (PEDRA BRITADA N.1 E PEDRA BRITADA N.2), APLICADO EM PISOS OU LAJES SOBRE SOLO, ESPESSURA DE *10 CM*. AF_01/2024</t>
  </si>
  <si>
    <t>AJUDANTE DE PEDREIRO COM ENCARGOS COMPLEMENTARES</t>
  </si>
  <si>
    <t>TRANSPORTE DE MATERIAL DEMOLIDO EM CAÇAMBA, EXCLUSIVE CARGA MANUAL OU MECÂNICA</t>
  </si>
  <si>
    <t>TRANSPORTE DE MATERIAL DE QUALQUER NATUREZA COM CARRINHO DE MÃO, COM DISTÂNCIAS MENORES OU IGUAIS A 50M, INCLUSIVE CARGA/DESCARGA</t>
  </si>
  <si>
    <t xml:space="preserve"> ESCAVAÇÃO MANUAL DE VALA COM PROFUNDIDADE MENOR OU IGUAL A 1,5M, INCLUSIVE DESCARGA LATERAL</t>
  </si>
  <si>
    <t>ED-51133</t>
  </si>
  <si>
    <t>ED-51125</t>
  </si>
  <si>
    <t>ED-16350</t>
  </si>
  <si>
    <t>ED-50137</t>
  </si>
  <si>
    <t>ESP.  (M)</t>
  </si>
  <si>
    <t>VOLUME (M³)</t>
  </si>
  <si>
    <t>CARGA (M³)</t>
  </si>
  <si>
    <t>VOL. (M3)</t>
  </si>
  <si>
    <t xml:space="preserve">QUANT. </t>
  </si>
  <si>
    <t>VOL. (M³)</t>
  </si>
  <si>
    <t>-</t>
  </si>
  <si>
    <t>MÊS 4</t>
  </si>
  <si>
    <t>MÊS 5</t>
  </si>
  <si>
    <t xml:space="preserve">LOCAÇÃO DE CONTAINER COM ISOLAMENTO TÉRMICO, TIPO 3, PARA DEPÓSITO/FERRAMENTARIA DE OBRA, COM MEDIDAS REFERENCIAIS DE (6) METROS COMPRIMENTO, (2,3) METROS LARGURA E (2,5) METROS ALTURA ÚTIL INTERNA, INCLUSIVE LIGAÇÕES ELÉTRICAS INTERNAS, EXCLUSIVE MOBILIZAÇÃO/ DESMOBILIZAÇÃO E LIGAÇÕES PROVISÓRIAS EXTERNAS                                                                                                                                                                                                                                                                                                                                     </t>
  </si>
  <si>
    <t>MÃO DE OBRA</t>
  </si>
  <si>
    <t>MÃO DE OBRA / EQUIPAMENTOS</t>
  </si>
  <si>
    <t>CAIXA DE INSPEÇÃO EM CONCRETO, TIPO "ZA", PADRÃO CEMIG, COMPRIMENTO 28CM, LARGURA 28CM, ALTURA 40CM, ESPESSURA 3CM EM CONCRETO ESTRUTURAL, PREPARADO EM OBRA COM BETONEIRA, COM FCK 20MPA, INCLUSIVE ARMAÇÃO EM AÇO CA-50/60 (FABRICAÇÃO)</t>
  </si>
  <si>
    <t>6.1</t>
  </si>
  <si>
    <t>6.2</t>
  </si>
  <si>
    <t>6.3</t>
  </si>
  <si>
    <t>ESCAVAÇÃO MANUAL DE VALA COM PROFUNDIDADE MENOR OU IGUAL A 1,5M, INCLUSIVE DESCARGA LATERAL</t>
  </si>
  <si>
    <t>ED-51107</t>
  </si>
  <si>
    <t>ED-51121</t>
  </si>
  <si>
    <t>SICOR-MG</t>
  </si>
  <si>
    <t>REATERRO MANUAL DE VALA, INCLUSIVE ESPALHAMENTO E COMPACTAÇÃO MECANIZADA COM PLACA VIBRATÓRIA (VALA DO ELETRODUTO)</t>
  </si>
  <si>
    <t>TAMPÃO E ARO ARTICULADOS (APLICAÇÃO:CAIXA PADRÃO CEMIG|TIPO: ZA|INSTALAÇÃO: PASSEIO|MATERIAL: FERRO FUNDIDO|COMPRIMENTO*: 310MM|LARGURA: 310MM*)*VALORES REFERENCIAIS APROXIMADOS</t>
  </si>
  <si>
    <t>MATED-13058</t>
  </si>
  <si>
    <t>FITA ISOLANTE (TIPO: ANTI-CHAMA|LARGURA: 19MM|COR: PRETA)</t>
  </si>
  <si>
    <t>ED-49197</t>
  </si>
  <si>
    <t>CAIXA DE INSPEÇÃO EM CONCRETO, TIPO "ZA" PASSEIO, PADRÃO CEMIG, DIMENSÃO (28X28)CM, ALTURA 40CM, COM TAMPA E ARO ARTICULADO EM FERRO FUNDIDO, INCLUSIVE ESCAVAÇÃO, APILOAMENTO, LASTRO DE BRITA, REATERRO E TRANSPORTE E RETIRADA DO MATERIAL ESCAVADO (EM CAÇAMBA</t>
  </si>
  <si>
    <t>AJUDANTE DE ELETRICISTA COM ENCARGOS COMPLEMENTARES</t>
  </si>
  <si>
    <t>ED-50362</t>
  </si>
  <si>
    <t>ED-50373</t>
  </si>
  <si>
    <t>ED-21776</t>
  </si>
  <si>
    <t>ED-21769</t>
  </si>
  <si>
    <t>MATED-11956</t>
  </si>
  <si>
    <t>DUTO CORRUGADO HELICOIDAL (TIPO: FLEXÍVEL|MATERIAL: POLIETILENO DE ALTA DENSIDADE [ PEAD]|COR: PRETA| DIÂMETRO: 2")</t>
  </si>
  <si>
    <t>FORNECIMENTO DE CONCRETO ESTRUTURAL, PREPARADO EM OBRA, COM FCK 20MPA, INCLUSIVE LANÇAMENTO, ADENSAMENTO E ACABAMENTO</t>
  </si>
  <si>
    <t>PARAFUSO FRANCES ZINCADO, DIAMETRO 1/2", COMPRIMENTO 4", COM PORCA E ARRUELA</t>
  </si>
  <si>
    <t>SINAPI- 4343</t>
  </si>
  <si>
    <t>ED-49618</t>
  </si>
  <si>
    <t>CABO DE ALUMÍNIO ISOLADO XLPE 06/1KV 25MM2</t>
  </si>
  <si>
    <t>MOVIMENTAÇÕES DE TERRA, CONTENÇÕES, DEMOLIÇÕES, DRENAGEM E PASSEIO</t>
  </si>
  <si>
    <t>DUTO CORRUGADO EM PEAD (POLIETILENO DE ALTA DENSIDADE), PARA PROTEÇÃO DE CABOS SUBTERRÂNEOS DN 50 MM (DIÂMETRO INTERNO = 2")</t>
  </si>
  <si>
    <t>CABO DE ALUMÍNIO (4X25MM² - PRETO/ CINZA/ VERMELHO / AZUL OU VERDE) PARA REDE ENTERRADA DE DISTRIBUIÇÃO DE ENERGIA ELÉTRICA - FORNECIMENTO E INSTALAÇÃO.</t>
  </si>
  <si>
    <t>SIMILAR ORSE - 8070</t>
  </si>
  <si>
    <t>6.4</t>
  </si>
  <si>
    <t>PREÇO UNITÁRIO S/ BDI</t>
  </si>
  <si>
    <t>PREÇO UNITÁRIO C/ BDI</t>
  </si>
  <si>
    <t>MOBILIZAÇÃO E DESMOBILIZAÇÃO DE CONTAINER, INCLUSIVE CARGA, DESCARGA E TRANSP. EM CAMINHÃO CARROCERIA C/ GUINDAUTO(MUNCK), EXCLUSIVE LOCAÇÃO DO CONTAINER</t>
  </si>
  <si>
    <t>ESP. (M)</t>
  </si>
  <si>
    <t>Área da calçada (AUTOCAD)</t>
  </si>
  <si>
    <t>A1</t>
  </si>
  <si>
    <t>A2</t>
  </si>
  <si>
    <t>A3</t>
  </si>
  <si>
    <t>A4</t>
  </si>
  <si>
    <t>A5</t>
  </si>
  <si>
    <t>A6</t>
  </si>
  <si>
    <t>A7</t>
  </si>
  <si>
    <t>A8</t>
  </si>
  <si>
    <t>A9</t>
  </si>
  <si>
    <t>A10</t>
  </si>
  <si>
    <t>A11</t>
  </si>
  <si>
    <t>A12</t>
  </si>
  <si>
    <t>Área da estacionamento (AUTOCAD)</t>
  </si>
  <si>
    <t>Área da jardim (AUTOCAD)</t>
  </si>
  <si>
    <t>Área da petpark (AUTOCAD)</t>
  </si>
  <si>
    <t>GUIA MEIO-FIO EXISTENTE</t>
  </si>
  <si>
    <t>MOVIMENTAÇÃO DE TERRA E LIMPEZA DO TERRENO</t>
  </si>
  <si>
    <t>4.1.6</t>
  </si>
  <si>
    <t>VOLUME (ITEM 4.1.5)</t>
  </si>
  <si>
    <t>SINAPI</t>
  </si>
  <si>
    <t>ESCAVAÇÃO VERTICAL PARA INFRAESTRUTURA, COM CARGA, DESCARGA E TRANSPORTE DE SOLO DE 1ª CATEGORIA, COM ESCAVADEIRA HIDRÁULICA (CAÇAMBA: 0,8 M³ / 111HP), FROTA DE 5 CAMINHÕES BASCULANTES DE 14 M³, DMT DE 2 KM E VELOCIDADE MÉDIA 19 KM/H. AF_05/2020 - BOTA FORA DO MATERIAL</t>
  </si>
  <si>
    <t>ESCAVAÇÃO VERTICAL PARA INFRAESTRUTURA, COM CARGA, DESCARGA E TRANSPORTE DE SOLO DE 1ª CATEGORIA, COM ESCAVADEIRA HIDRÁULICA (CAÇAMBA: 0,8 M³ / 111HP), FROTA DE 5 CAMINHÕES BASCULANTES DE 14 M³, DMT DE 2 KM E VELOCIDADE MÉDIA 19 KM/H. AF_05/2020 - FORNECIMENTO DE MATERIAL PARA REATERRO DO MURO DE CONTENÇÃO</t>
  </si>
  <si>
    <t xml:space="preserve">TRANSPORTE COM CAMINHÃO BASCULANTE DE 10 M³, EM VIA URBANA PAVIMENTADA, DMT ATÉ 30 KM AF_07/2020 </t>
  </si>
  <si>
    <t>93358</t>
  </si>
  <si>
    <t>ESCAVAÇÃO MANUAL DE VALA COM PROFUNDIDADE MENOR OU IGUAL A 1,30 M. AF_02/2021</t>
  </si>
  <si>
    <t>REATERRO MANUAL DE VALAS, COM COMPACTADOR DE SOLOS DE PERCUSSÃO. AF_08/2023</t>
  </si>
  <si>
    <t>LIMPEZA MECANIZADA DE CAMADA VEGETAL, VEGETAÇÃO E PEQUENAS ÁRVORES (DIÂMETRO DE TRONCO MENOR QUE 0,20 M), COM TRATOR DE ESTEIRAS. AF_03/2024</t>
  </si>
  <si>
    <t>/2)X</t>
  </si>
  <si>
    <t>(</t>
  </si>
  <si>
    <t>DEMOLIÇÃO DE GUIAS, SARJETAS OU SARJETÕES, DE FORMA MECANIZADA, SEM REAPROVEITAMENTO. AF_09/2023</t>
  </si>
  <si>
    <t>CARGA, MANOBRA E DESCARGA DE SOLOS E MATERIAIS GRANULARES EM CAMINHÃO BASCULANTE 10 M³ - CARGA COM PÁ CARREGADEIRA (CAÇAMBA DE 1,7 A 2,8 M³ / 128 HP) E DESCARGA LIVRE (UNIDADE: M3). AF_07/2020</t>
  </si>
  <si>
    <t>TRANSPORTE COM CAMINHÃO BASCULANTE DE 18 M³, EM VIA URBANA PAVIMENTADA, DMT ATÉ 30 KM (UNIDADE: M3XKM). AF_07/2020</t>
  </si>
  <si>
    <t>VOLUME (ITEM 4.2.2)</t>
  </si>
  <si>
    <t>FABRICAÇÃO, MONTAGEM E DESMONTAGEM DE FÔRMA PARA VIGA BALDRAME, EM MADEIRA SERRADA, E=25 MM, 4 UTILIZAÇÕES. AF_01/2024</t>
  </si>
  <si>
    <t>COMPACTAÇÃO MECÂNICA DE SOLO PARA EXECUÇÃO DE RADIER, PISO DE CONCRETO OU LAJE SOBRE SOLO,
COM COMPACTADOR DE SOLOS A PERCUSSÃO. AF_09/2021</t>
  </si>
  <si>
    <t>CONCRETO CICLÓPICO FCK = 15MPA, 30% PEDRA DE MÃO EM VOLUME REAL, INCLUSIVE LANÇAMENTO. AF_05/2021</t>
  </si>
  <si>
    <t>CHAPISCO APLICADO EM ALVENARIA (SEM PRESENÇA DE VÃOS) E ESTRUTURAS DE CONCRETO DE FACHADA, COM COLHER DE PEDREIRO. ARGAMASSA TRAÇO 1:3 COM PREPARO MANUAL. AF_10/2022</t>
  </si>
  <si>
    <t>PORTÃO PIVOTANTE NYLOFOR, COMPOSTO DE QUADRO, PAINÉIS E ACESSÓRIOS COM PINTURA ELETROSTÁTICA COM TINTA POLIESTER, NAS CORES VERDE OU BRANCA, COM POSTE EM AÇO REVESTIDO, COR VERDE OU BRANCA - FORNECIMENTO E MONTAGEM</t>
  </si>
  <si>
    <t>C4556</t>
  </si>
  <si>
    <t>SEINFRA</t>
  </si>
  <si>
    <t>EMBOÇO OU MASSA ÚNICA EM ARGAMASSA TRAÇO 1:2:8, PREPARO MANUAL, APLICADA MANUALMENTE EM PANOS CEGOS DE FACHADA (SEM PRESENÇA DE VÃOS), ESPESSURA DE 25 MM. AF_09/2022</t>
  </si>
  <si>
    <t>IMPERMEABILIZAÇÃO DE SUPERFÍCIE COM EMULSÃO ASFÁLTICA, 2 DEMÃOS. AF_09/2023</t>
  </si>
  <si>
    <t>ALVENARIA DE VEDAÇÃO DE BLOCOS VAZADOS DE CONCRETO DE 14X19X39 CM (ESPESSURA 14 CM) E ARGAMASSA DE ASSENTAMENTO COM PREPARO EM BETONEIRA. AF_12/2021</t>
  </si>
  <si>
    <t>CONCRETO FCK = 15MPA, TRAÇO 1:3,4:3,4 (EM MASSA SECA DE CIMENTO/ AREIA MÉDIA/ SEIXO ROLADO) - PREPARO MECÂNICO COM BETONEIRA 400 L. AF_05/2021</t>
  </si>
  <si>
    <t>ESCAVAÇÃO MANUAL DE VALA. AF_09/2024</t>
  </si>
  <si>
    <t>4.3.1</t>
  </si>
  <si>
    <t>4.3.2</t>
  </si>
  <si>
    <t>MURETA/ENCHIMENTO EM CONCRETO CICLÓPICO, ESP. DE 15CM, ALTURA MÉDIA IGUAL A 0,4 M. INCLUSIVE ESCAVAÇÕES, MONTAGEM E DESMONTAGEM DE FORMA, CONCRETAGEM, CHAPISCO E RECOBO (ESP.=25MM). (SOB CERCA NYLOFOR EXISTENTE)</t>
  </si>
  <si>
    <t>GUIA DE CORDÃO BOLEADO, EM CONCRETO COM FCK 20MPA, PRÉ-MOLDADA, 10X10CM (ALTURA X LARGURA), INCLUSIVE UMA (1) FIADA DE BLOCO DE CONCRETO, ESP. 9CM, ESCAVAÇÃO, APILOAMENTO E TRANSPORTE COM RETIRADA DO MATERIAL ESCAVADO (EM CAÇAMBA)</t>
  </si>
  <si>
    <t>ED-51135</t>
  </si>
  <si>
    <t>MURETAS E PAVIMENTAÇÃO</t>
  </si>
  <si>
    <t>DEMOLIÇÕES</t>
  </si>
  <si>
    <t>EXECUÇÃO DE PAVIMENTO EM PISO INTERTRAVADO, COM BLOCO RETANGULAR COLORIDO DE 20 X 10 CM, ESPESSURA 8 CM. AF_10/2022</t>
  </si>
  <si>
    <t>EXECUÇÃO DE PAVIMENTO EM PISO INTERTRAVADO, COM BLOCO RETANGULAR COR NATURAL DE 20 X 10 CM, ESPESSURA 8 CM. AF_10/2022</t>
  </si>
  <si>
    <t>5.1.1</t>
  </si>
  <si>
    <t>5.1.2</t>
  </si>
  <si>
    <t>5.1.3</t>
  </si>
  <si>
    <t>5.1.4</t>
  </si>
  <si>
    <t>5.1.5</t>
  </si>
  <si>
    <t>5.1.6</t>
  </si>
  <si>
    <t>Bordo do cercamento de Nylofor</t>
  </si>
  <si>
    <t>Para reforço de base da cerca nylofor existente</t>
  </si>
  <si>
    <t>PERÍMETRO JARDIM A7</t>
  </si>
  <si>
    <t>PERÍMETRO JARDIM A8</t>
  </si>
  <si>
    <t>PERÍMETRO JARDIM A9</t>
  </si>
  <si>
    <t>PERÍMETRO JARDIM A10</t>
  </si>
  <si>
    <t>PERÍMETRO JARDIM A11</t>
  </si>
  <si>
    <t>4.2.2</t>
  </si>
  <si>
    <t>4.3.5</t>
  </si>
  <si>
    <t>4.3.6</t>
  </si>
  <si>
    <t>4.3.7</t>
  </si>
  <si>
    <t>4.3.8</t>
  </si>
  <si>
    <t>PETPARK</t>
  </si>
  <si>
    <t>RUA ANTÔNIO L. SOBRINHO</t>
  </si>
  <si>
    <t>ÁREA 13</t>
  </si>
  <si>
    <t>ÁREA 14</t>
  </si>
  <si>
    <t>ÁREA 2</t>
  </si>
  <si>
    <t>Playgroud</t>
  </si>
  <si>
    <t>Pet Park</t>
  </si>
  <si>
    <t>PERÍMETRO ESTACIONAMENTO A3</t>
  </si>
  <si>
    <t>PERÍMETRO ESTACIONAMENTO A4</t>
  </si>
  <si>
    <t>PERÍMETRO ESTACIONAMENTO A5</t>
  </si>
  <si>
    <t>PERÍMETRO ESTACIONAMENTO A7</t>
  </si>
  <si>
    <t>PORTÃO 1</t>
  </si>
  <si>
    <t>PORTÃO 2</t>
  </si>
  <si>
    <t>Alt. (M)</t>
  </si>
  <si>
    <t>PORTÕES 1 E 2</t>
  </si>
  <si>
    <t>IGUAL AO ITEM 4.3.2</t>
  </si>
  <si>
    <t>5.2.2</t>
  </si>
  <si>
    <t>5.2.1</t>
  </si>
  <si>
    <t>5.2.3</t>
  </si>
  <si>
    <t>5.2.4</t>
  </si>
  <si>
    <t>ILUMINAÇÃO DAS ÁREAS DE CONVÍVIO</t>
  </si>
  <si>
    <t>PONTO DE RECARGA PARA VEÍCULOS</t>
  </si>
  <si>
    <t>ILUMINAÇÃO TRECHO 1</t>
  </si>
  <si>
    <t>ILUMINAÇÃO TRECHO 2</t>
  </si>
  <si>
    <t>EDUCAÇÃO-SP</t>
  </si>
  <si>
    <t>16.03.066</t>
  </si>
  <si>
    <t>ARBUSTO H=0.50 A 0.70M - AZALÉIA</t>
  </si>
  <si>
    <t>ARBUSTO MUSSAENDA H=0,50 A 0,70M</t>
  </si>
  <si>
    <t>16.03.316</t>
  </si>
  <si>
    <t>MESA DE JOGOS COM 4 BANCOS,TAMPO DE MESA EM MARMORITE ARMADO,NA COR NATURAL,TENDO NO CENTRO TABULEIRO DE XADREZ EM MARMORITE NAS CORES BRANCA E PRETA,PES(MESA E BANCOS)DE CONCRETOARMADO.FORNECIMENTO E COLOCACAO</t>
  </si>
  <si>
    <t>EMOP</t>
  </si>
  <si>
    <t>09.014.0015-0</t>
  </si>
  <si>
    <t>ORSE</t>
  </si>
  <si>
    <t>SUDECAP</t>
  </si>
  <si>
    <t>18.76.03</t>
  </si>
  <si>
    <t>PLAYGROUND BRINQUEDOS DE MADEIRA - CASA TARZAN COM RAMPA ESCALADA, ESCORREGADOR, PONTE E ESCADA MARINHEIRO</t>
  </si>
  <si>
    <t>SIURB</t>
  </si>
  <si>
    <t>PLANTIO DE GRAMA ESMERALDA OU SÃO CARLOS OU CURITIBANA, EM PLACAS. AF_07/2024</t>
  </si>
  <si>
    <t>TUBO ACO GALVANIZADO COM COSTURA, CLASSE LEVE, DN 32 MM (1 1/4"), E = 2,65 MM, *2,71* KG/M (NBR 5580)</t>
  </si>
  <si>
    <t>SINAPI- 21011</t>
  </si>
  <si>
    <t>34.20.384</t>
  </si>
  <si>
    <t>OBRAS-SP</t>
  </si>
  <si>
    <t>COLETOR DE RESÍDUO LEVE - LIXEIRA - CESTO COLETOR RESÍDUO (LIXEIRA) METÁLICO SIMPLES QUADRADO PADRÃO SLU MQS</t>
  </si>
  <si>
    <t>ED-9017</t>
  </si>
  <si>
    <t>ED-9016</t>
  </si>
  <si>
    <t>PILAR DE MADEIRA ROLIÇA, EUCALIPTO OU EQUIVALENTE DA REGIÃO, FIXADO COM VERGALHÃO, DIÂMETRO DE 12 A 15 CM, APOIO ARTICULADO, COMPRIMENTO DE 3 M. AF_03/2024</t>
  </si>
  <si>
    <t>ASSOALHO/TÁBUA CORRIDA EM MADEIRA DE LEI, LARGURA DE 10CM, INCLUSIVE ASSENTAMENTO COM PREGOS, EXCLUSIVE BARROTE (CUMARU OU SIMILAR)</t>
  </si>
  <si>
    <t>BARROTEAMENTO PARA PISO DE MADEIRA, COM PEÇAS DE (6x15)CM ESPAÇADAS A CADA 60CM, EXCLUSIVE PISO/ASSOALHO (CUMARU OU SIMILAR)</t>
  </si>
  <si>
    <t>PILAR DE MADEIRA SERRADA, MAÇARANDUBA OU EQUIVALENTE DA REGIÃO, NÃO APARELHADO, FIXADO COM VERGALHÃO, SEÇÃO QUADRADA 10 X 10 CM, APOIO ARTICULADO, COMPRIMENTO DE 3 M. AF_03/2024</t>
  </si>
  <si>
    <t>PILAR DE MADEIRA SERRADA, MAÇARANDUBA OU EQUIVALENTE DA REGIÃO, NÃO APARELHADO, FIXADO COM VERGALHÃO, SEÇÃO QUADRADA 15 X 15 CM, APOIO ARTICULADO, COMPRIMENTO DE 3 M. AF_03/2024</t>
  </si>
  <si>
    <t>PILAR DE MADEIRA ROLIÇA, EUCALIPTO OU EQUIVALENTE DA REGIÃO, FIXADO COM VERGALHÃO, DIÂMETRO DE 16 A 20 CM, APOIO ARTICULADO, COMPRIMENTO DE 6 M. AF_03/2024</t>
  </si>
  <si>
    <t>VIGA DE MADEIRA SERRADA, MAÇARANDUBA OU EQUIVALENTE DA REGIÃO, APARELHADA, SEÇÃO RETANGULAR 6 X 12 CM. AF_03/2024</t>
  </si>
  <si>
    <t>PINTURA ASFALTICA IMPERMEABILIZANTE - PINTURA COM TINTA ASFALTICA IMPERMEABILIZANTE DILUIDA EM SOLVENTE, PARA MATERIAIS CIMENTICIOS, METAL E MADEIRA (SEÇÃO ENTERRADA)</t>
  </si>
  <si>
    <t>09.12.01</t>
  </si>
  <si>
    <t>MARCENEIRO COM ENCARGOS COMPLEMENTARES</t>
  </si>
  <si>
    <t>AJUDANTE ESPECIALIZADO COM ENCARGOS COMPLEMENTARES</t>
  </si>
  <si>
    <t>PINTURA IMUNIZANTE PARA MADEIRA, 2 DEMÃOS. AF_01/2021</t>
  </si>
  <si>
    <t>BICICLETÁRIO MODELO U INVERTIDO EM TUBO CIRCULAR DE AÇO Ø 2", SEM EMENDAS, MEDIDAS DE 82CM ALTURA E 78CM LARGURA, COM ACABAMENTO EM PINTURA ELETROSTÁTICA, PARA FIXAÇÃO CHUMBADO</t>
  </si>
  <si>
    <t>BANCO COM ENCOSTO, COMPR=1,50M, LARGURA=30CM, PÉ DE FERRO FUNDIDO E COM 10 RÉGUAS DE MADEIRA, INCLUSIVE PINTURA</t>
  </si>
  <si>
    <t>RAMPA PARA CÃES EM MADEIRA CUMARU OU SIMILAR, COM RAMPAS COM 0,80M DE LARGURA, EXECUTADA COM ASSOALHO DE PAU DARCO SOBRE DUAS PEÇAS 7 X 15CM. PILARETES EM MADEIRA CUMARU 0,1X0,1M (LARG. X COMP.) APOIADA EM BASE.FORNECIMENTO E INSTALAÇÃO</t>
  </si>
  <si>
    <t>PASSARELA PET EM MADEIRA CUMARU OU SIMILAR, COM RAMPAS COM 0,80M DE LARGURA, EXECUTADA COM ASSOALHO DE PAU DARCO SOBRE DUAS PEÇAS 7 X 15CM E PATAMAR COM ASSOALHO DE MADEIRA COM DIMENSÕES 1,00X1,00X1,00M (LARG. X COMP. X ALT.). PILARETES EM MADEIRA CUMARU 0,1X0,1M (LARG. X COMP.) APOIADA EM BASE EM CONCRETO 20 MPA, COM DIMENSÕES 0,3X0,3X0,3M (LARG. X COMP. X ALT.).FORNECIMENTO E INSTALAÇÃO</t>
  </si>
  <si>
    <t>CPU-004</t>
  </si>
  <si>
    <t>MURETA EM BLOCO DE CONCRETO CHEIO, COM ESPESSURA ACABADA DE 20CM,  ALTURA DE 40CM, BLOCO DE 15CM, COM BASE EM CONCRETO CICLÓPICO 20X20CM, INCLUSIVE ESCAVAÇÃO COM TRANSPORTE E RETIRADA DO MATERIAL ESCAVADO (EM CAÇAMBA), IMPERMEABILIZAÇÃO, CHAPISCO E REBOCO (ESP.=25MM)</t>
  </si>
  <si>
    <t>CPU-005</t>
  </si>
  <si>
    <t>CERCA/GRADIL NYLOFOR H=1,03M, MALHA 5X20CM - FIO 5 MM, REVESTIDOS EM POLIESTER POR PROCESSO DE PINTURA ELETROSTÁTICA NAS CORES VERDE OU BRANCA. FORNECIMENTO E INSTALAÇÃO. INCLUSIVE POSTE E ACESSÓRIOS.</t>
  </si>
  <si>
    <t>CPU-006</t>
  </si>
  <si>
    <t>PAISAGISMO</t>
  </si>
  <si>
    <t>5.3</t>
  </si>
  <si>
    <t>PONTO HIDRÁULICO</t>
  </si>
  <si>
    <t>LUMINÁRIA FECHADA EM LED P/ILUMINAÇÃO PÚBLICA, MODELO LPL ÁTON 60W, CORPO ALUMÍNIO INJETADO, 5.000K, IP66, 120V A 277V, 50/60 HZ, VIDA ÚTIL 70.000HS, FP&gt;0,95, COM VIDRO REF C/TOMADA 7 PINOS(TELEGESTÃO), POSTE CÔNICO CONTÍNUO DE AÇO RETO, H=6,0M.</t>
  </si>
  <si>
    <t>FORNECIMENTO E ASSENTAMENTO DE TUBO PVC RÍGIDO SOLDÁVEL, ÁGUA FRIA, DN 20 MM (1/2"), INCLUSIVE CONEXÕES</t>
  </si>
  <si>
    <t>ED-50018</t>
  </si>
  <si>
    <t>ASSENTAMENTO DE GUIA (MEIO-FIO) EM TRECHO RETO, CONFECCIONADA EM CONCRETO PRÉ-FABRICADO, DIMENSÕES 100X15X13X30 CM (COMPRIMENTO X BASE INFERIOR X BASE SUPERIOR X ALTURA). AF_01/2024</t>
  </si>
  <si>
    <t>FORNECIMENTO E ASSENTAMENTO DE TUBO PVC RÍGIDO ROSCÁVEL, ÁGUA FRIA, DN 1/2" (20 MM), INCLUSIVE CONEXÕES</t>
  </si>
  <si>
    <t>TORNEIRA METÁLICA PARA IRRIGAÇÃO/JARDIM, ACABAMENTO CROMADO, APLICAÇÃO DE PAREDE, INCLUSIVE FORNECIMENTO E INSTALAÇÃO</t>
  </si>
  <si>
    <t>ED-50323</t>
  </si>
  <si>
    <t>5.3.1</t>
  </si>
  <si>
    <t>5.3.2</t>
  </si>
  <si>
    <t>5.3.3</t>
  </si>
  <si>
    <t>5.3.4</t>
  </si>
  <si>
    <t>7.1</t>
  </si>
  <si>
    <t>7.2</t>
  </si>
  <si>
    <t>7.3</t>
  </si>
  <si>
    <t>7.4</t>
  </si>
  <si>
    <t>7.5</t>
  </si>
  <si>
    <t>7.6</t>
  </si>
  <si>
    <t>7.7</t>
  </si>
  <si>
    <t>7.8</t>
  </si>
  <si>
    <t>7.9</t>
  </si>
  <si>
    <t>7.10</t>
  </si>
  <si>
    <t>CPU-011</t>
  </si>
  <si>
    <t xml:space="preserve">BARRA DE SALTO COM APOIO EM MADEIRA ROLIÇA DE EUCALÍPTO TRATADO, D=20CM, E BARRA DE AÇO GALVANIZADA DE 1,20M DE COMPRIMENTO. </t>
  </si>
  <si>
    <t>FORNECIMENTO DE CONCRETO NÃO ESTRUTURAL, PREPARADO EM OBRA COM BETONEIRA, COM FCK 15MPA, INCLUSIVE LANÇAMENTO, ADENSAMENTO E ACABAMENTO (FUNDAÇÃO)</t>
  </si>
  <si>
    <t>ED-49784</t>
  </si>
  <si>
    <t>VIGA DE MADEIRA SERRADA, CUMARU OU EQUIVALENTE DA REGIÃO, APARELHADA, SEÇÃO RETANGULAR 6 X 12 CM. AF_03/2024</t>
  </si>
  <si>
    <t>TUBO ACO GALVANIZADO COM COSTURA, CLASSE LEVE, DN 50 MM (2"), E = 3,00 MM, *4,40* KG/M (NBR 5580)</t>
  </si>
  <si>
    <t>MAO-DE-OBRA DE TORNEIRO MECANICO,INCLUSIVE ENCARGOS SOCIAIS</t>
  </si>
  <si>
    <t>AUXILIAR DE SERRALHEIRO COM ENCARGOS COMPLEMENTARES</t>
  </si>
  <si>
    <t>SERRALHEIRO COM ENCARGOS COMPLEMENTARES</t>
  </si>
  <si>
    <t>PARAFUSO OLHAL DE SUSPENSÃO (TIPO: M6|DIÂMETRO EXTERNO: 36MM|DIÂMETRO INTERNO*: 20MM|MATERIAL: AÇOGALVANIZADO|CARGA DE CARGA*: 70KG|PESO: 0,05KG)*VALORES REFERENCIAIS APROXIMADOS</t>
  </si>
  <si>
    <t>CPU-012</t>
  </si>
  <si>
    <t>MATED-16802</t>
  </si>
  <si>
    <t>PINTURA PRESERVATIVA COM CUPINICIDA EM MADEIRA SECA, DUAS (2) DEMÃOS, INCLUSIVE DUAS (2) DEMÃOS DE VERNIZ SINTÉTICO MARÍTIMO, ACABAMENTO TIPO FOSCO</t>
  </si>
  <si>
    <t>ED-50511</t>
  </si>
  <si>
    <t>PINTURA ESMALTE SINTÉTICO EM SUPERFÍCIES METÁLICAS, DUAS (2) DEMÃOS, INCLUSIVE UMA (1) DEMÃO DE FUNDO ANTICORROSIVO</t>
  </si>
  <si>
    <t>ED-50495</t>
  </si>
  <si>
    <t xml:space="preserve">ARGOLA DE SALTO DE MADEIRA CUMARU OU SIMILAR, APARELHADA, IMUNIZADA E ENVERNIZADA, COM 2,0M DE LARGURA E 1,55M DE ALTURA. PILAR E VIGA COM DIMENSÕES 10X10CM, APARELHADA, COM QUINAS BAULADAS. ARGOLA EM TUBO DE AÇO GALNANIZADO, DI=50MM E ESP.=3,00MM, FIXADA COM CORRENTE GALVANIZADA ELO CURTO, ESP.= 6,0MM, COM PINTURA ESMALTE  FUNDO ANTICORROSIVO. INCLUSIVE ESCAVAÇÃO, CONCRETAGEM E REATERRO DE FUNDAÇÕES. </t>
  </si>
  <si>
    <t>CARPINTEIRO AUXILIAR COM ENCARGOS COMPLEMENTARES</t>
  </si>
  <si>
    <t>TAMBOR PLÁSTICO PETPLACE VERDE OU AZUL, COM DIÂMETRO DE 0,55M  E COMPRIM. 0,85M. COM QUADRO ESTRUTURADO EM MADEIRA CUMARU OU SIMILAR, CAIBRO APARELHADO, LARG. 5,0 X 5,0CM. COM PASSARELA EM TÁBUA DE MADEIRA DE LEI INTERNA PINTADA, LARG. DE 0,20M.</t>
  </si>
  <si>
    <t>PARAFUSO ZINCADO ROSCA SOBERBA, CABECA SEXTAVADA, 5/16" X 110 MM, PARA FIXACAO DE TELHA EM MADEIRA</t>
  </si>
  <si>
    <t>COT-001</t>
  </si>
  <si>
    <t>ARBUSTO H=0.60 A 0.80M - AMETISTA</t>
  </si>
  <si>
    <t>ARBUSTO - h= 0,60 a 0,80 m</t>
  </si>
  <si>
    <t>PRAZO DE EXECUÇÃO: 4 MESES</t>
  </si>
  <si>
    <t>sicor-mg</t>
  </si>
  <si>
    <t>seinfra-ce</t>
  </si>
  <si>
    <t>sinapi</t>
  </si>
  <si>
    <t>sudecap</t>
  </si>
  <si>
    <t>emop</t>
  </si>
  <si>
    <t>educacao-sp</t>
  </si>
  <si>
    <t>orse</t>
  </si>
  <si>
    <t>cotacao</t>
  </si>
  <si>
    <t>VIGA DE MADEIRA SERRADA, MAÇARANDUBA OU EQUIVALENTE DA REGIÃO, NÃO APARELHADA, SEÇÃO RETANGULAR 6 X 25 CM. AF_03/2024</t>
  </si>
  <si>
    <t>TÚNEL PARA CÃES, COM TAMBOR PLÁSTICO DUPLO (VERDE OU AZUL), COM DIÂMETRO DE 0,55M  E COMPRIMENTO TOTAL IGUAL A 1,70M. COM QUADRO ESTRUTURADO EM MADEIRA CUMARU OU SIMILAR, CAIBRO APARELHADO, LARG. 5,0 X 5,0CM. COM PASSARELA EM TÁBUA DE MADEIRA DE LEI INTERNA PINTADA, LARG. DE 0,20M.</t>
  </si>
  <si>
    <t>EMBOÇO OU MASSA ÚNICA EM ARGAMASSA TRAÇO 1:2:8, PREPARO MANUAL, APLICADA MANUALMENTE EM PANOS CEGOS DE FACHADA (SEM PRESENÇA DE VÃOS), ESPESSURA DE 25 MM.</t>
  </si>
  <si>
    <t>CONTRAPISO EM ARGAMASSA TRAÇO 1:4 (CIMENTO E AREIA), PREPARO MANUAL, APLICADO EM ÁREAS MOLHADAS SOBRE LAJE, ADERIDO, ACABAMENTO NÃO REFORÇADO, ESPESSURA 2CM.</t>
  </si>
  <si>
    <t>CHAPISCO APLICADO EM ALVENARIA (SEM PRESENÇA DE VÃOS) E ESTRUTURAS DE CONCRETO DE FACHADA, COM COLHER DE PEDREIRO. ARGAMASSA TRAÇO 1:3 COM PREPARO MANUAL.</t>
  </si>
  <si>
    <t>PILAR DE MADEIRA SERRADA, CUMARU OU EQUIVALENTE DA REGIÃO, NÃO APARELHADO, FIXADO COM VERGALHÃO, SEÇÃO QUADRADA 10 X 10 CM, APOIO ARTICULADO, COMPRIMENTO DE 3 M. AF_03/2024</t>
  </si>
  <si>
    <t>APARELHAMENTO OU LIXAMENTO DE PEÇA DE MADEIRA DE LEI, SEÇÃO 7CM A 20CM</t>
  </si>
  <si>
    <t>CORRENTE EM AÇO GALVANIZADO, ELO DIAM.: 6,4MM, DIM.: 24MM X 42MM, PESO 0,84 KG/M</t>
  </si>
  <si>
    <t>PONTO DE ÁGUA FRIA APARENTE, C/MATERIAL PVC RÍGIDO SOLDÁVEL Ø 25MM</t>
  </si>
  <si>
    <t>EQUIPAMENTOS E BRIQUEDOS</t>
  </si>
  <si>
    <t>ILUMINAÇÃO, PONTO DE RECARGA E PONTOS DE ÁGUA</t>
  </si>
  <si>
    <t>INSTALAÇÕES INICIAIS DA OBRA</t>
  </si>
  <si>
    <t>8.1</t>
  </si>
  <si>
    <t>8.2</t>
  </si>
  <si>
    <t>8.3</t>
  </si>
  <si>
    <t>8.4</t>
  </si>
  <si>
    <t>DRENAGEM</t>
  </si>
  <si>
    <t>ÁREA 15</t>
  </si>
  <si>
    <t>ÁREA 1 - ÁREA 13 - ÁREA 14 - ÁREA 15</t>
  </si>
  <si>
    <t>ÁREA 3</t>
  </si>
  <si>
    <t>ÁREA 4</t>
  </si>
  <si>
    <t>ÁREA 5</t>
  </si>
  <si>
    <t>ÁREA 6</t>
  </si>
  <si>
    <t>ENROCAMENTO MANUAL COM PEDRA DE MÃO ARRUMADA, INCLUSIVE FORNECIMENTO, EXCLUSIVE REJUNTAMENTO COM ARGAMASS</t>
  </si>
  <si>
    <t>ED-49541</t>
  </si>
  <si>
    <t>GEOTÊXTIL NÃO TECIDO 100% POLIÉSTER, RESISTÊNCIA A TRAÇÃO DE 14 KN/M (RT - 14), INSTALADO EM DRENO - FORNECIMENTO E INSTALAÇÃO. AF_07/2021</t>
  </si>
  <si>
    <t>8.6</t>
  </si>
  <si>
    <t>DRENO SUBSUPERFICIAL (SEÇÃO 0,40 X 0,40 M), COM TUBO DE PEAD CORRUGADO PERFURADO, DN 100 MM, ENCHIMENTO COM BRITA, ENVOLVIDO COM MANTA GEOTÊXTIL. AF_07/2021</t>
  </si>
  <si>
    <t>CANALETA PARA DRENAGEM, EM CONCRETO COM FCK 15MPA, MOLDADA IN LOCO, SEÇÃO 30X20CM, FORMA EM MADEIRA, COM GRELHA EM BARRA REDONDA DN 12,5MM (1/2") E REQUADRO EM BARRA REDONDA DN 20MM (3/4") COM UMA (1) DEMÃO DE FUNDO ANTICORROSIVO E DUAS (2) DEMÃOS DE PINTURA ESMALTE, INCLUSIVE ESCAVAÇÃO, REATERRO COM TRANSPORTE E RETIRADA DO MATERIAL ESCAVADO (EM CAÇAMBA)</t>
  </si>
  <si>
    <t>ED-14746</t>
  </si>
  <si>
    <t>CAIXA DE DRENAGEM DE INSPEÇÃO/PASSAGEM EM ALVENARIA (40X40X60CM), REVESTIMENTO EM ARGAMASSA COM ADITIVO IMPERMEABILIZANTE, COM TAMPA EM GRELHA, INCLUSIVE ESCAVAÇÃO, REATERRO E TRANSPORTE E RETIRADA DO MATERIAL ESCAVADO (EM CAÇAMBA)</t>
  </si>
  <si>
    <t>UN.</t>
  </si>
  <si>
    <t>ED-49909</t>
  </si>
  <si>
    <t>DRENO 01</t>
  </si>
  <si>
    <t>DRENO 02</t>
  </si>
  <si>
    <t>DRENO 03</t>
  </si>
  <si>
    <t>QUANT. (M)</t>
  </si>
  <si>
    <t>BACIAS</t>
  </si>
  <si>
    <t>CANALETA 01</t>
  </si>
  <si>
    <t>CANALETA 02</t>
  </si>
  <si>
    <t>CAIXA 01</t>
  </si>
  <si>
    <t>CAIXA 02</t>
  </si>
  <si>
    <t>COTAÇÃO</t>
  </si>
  <si>
    <t>ANIMAMIX BRINQUEDOS</t>
  </si>
  <si>
    <t>(19) 30521743</t>
  </si>
  <si>
    <t>contato@animamixbrinquedos.com.br</t>
  </si>
  <si>
    <t>ESTABELECIMENTO</t>
  </si>
  <si>
    <t>TELEFONE</t>
  </si>
  <si>
    <t>E-MAIL</t>
  </si>
  <si>
    <t>REGIÃO/MÊS DE REFERÊNCIA: SEINFRA-CE 10/2023 - EDUCAÇÃO-SP, EMOP, ORSE, SICRO, SUDECAP, SICOR MG CENTRAL 04/2025 - SIURB 01/2025 - CDHU/OBRAS-SP, SINAPI 05/2025 -  NÃO DESONERADA</t>
  </si>
  <si>
    <t>13769 (ORSE)</t>
  </si>
  <si>
    <t>09.12.01 (SUDECAP)</t>
  </si>
  <si>
    <t>12313 (ORSE)</t>
  </si>
  <si>
    <t>05.105.0152-0 (EMOP)</t>
  </si>
  <si>
    <r>
      <t>34.03.130 (</t>
    </r>
    <r>
      <rPr>
        <sz val="7"/>
        <rFont val="Arial Narrow"/>
        <family val="2"/>
      </rPr>
      <t>EDUCAÇÃO SP</t>
    </r>
    <r>
      <rPr>
        <sz val="8"/>
        <rFont val="Arial Narrow"/>
        <family val="2"/>
      </rPr>
      <t>)</t>
    </r>
  </si>
  <si>
    <t>I8817 (SEINFRA CE)</t>
  </si>
  <si>
    <t>Eng. Civil Dilermando de Aranda Lima</t>
  </si>
  <si>
    <t>49.378/D</t>
  </si>
  <si>
    <t>UNID.</t>
  </si>
  <si>
    <t>TOTAL GERAL DA OBRA :</t>
  </si>
  <si>
    <t>LOCAL: RUA ANTÔNIO LOUREIRO SOBRINHO, S/Nº - B. LUCÍLIA, JOÃO MONLEVADE</t>
  </si>
  <si>
    <t>OBRA: PROJETO DO ESPAÇO DE LAZER E ESTACIONAMENTO NO PARQUE DO AREÃO</t>
  </si>
  <si>
    <t>3.2</t>
  </si>
  <si>
    <t>3.3</t>
  </si>
  <si>
    <t>ED-28427</t>
  </si>
  <si>
    <t>LOCAÇÃO DE BANHEIRO QUÍMICO, DIMENSÃO (110X120X230)CM, LINHA PADRÃO, CONTENDO UMA (1) PIA/HIGIENIZADOR DE MÃOS, INCLUSIVE MANUTENÇÃO E MOBILIZAÇÃO/DESMOBILIZAÇÃO</t>
  </si>
  <si>
    <t>ED-50155</t>
  </si>
  <si>
    <t>3.4</t>
  </si>
  <si>
    <t>CPU-010</t>
  </si>
  <si>
    <t xml:space="preserve">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 </t>
  </si>
  <si>
    <t>MATED-12522</t>
  </si>
  <si>
    <t>ENG. CIVIL DILERMANDO DE ARANDA LIMA</t>
  </si>
  <si>
    <t>INCIDÊNCIA DE ISS EM 100% DO PREÇO DE VENDA, COM PERCENTUAL DE 5%</t>
  </si>
  <si>
    <t>COMPOSIÇÃO DO BDI - SEM DESONERAÇÃO - OBRA DE EDIFICAÇÃO</t>
  </si>
  <si>
    <t>23/09/2025</t>
  </si>
  <si>
    <t>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</si>
</sst>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quot;R$ &quot;* #,##0.00_);_(&quot;R$ &quot;* \(#,##0.00\);_(&quot;R$ &quot;* &quot;-&quot;??_);_(@_)"/>
    <numFmt numFmtId="165" formatCode="_(* #,##0.00_);_(* \(#,##0.00\);_(* &quot;-&quot;??_);_(@_)"/>
    <numFmt numFmtId="166" formatCode="_(* #,##0.000_);_(* \(#,##0.000\);_(* &quot;-&quot;??_);_(@_)"/>
    <numFmt numFmtId="167" formatCode="&quot;R$ &quot;#,##0.00"/>
    <numFmt numFmtId="168" formatCode="_-* #,##0.00000_-;\-* #,##0.00000_-;_-* &quot;-&quot;??_-;_-@_-"/>
    <numFmt numFmtId="169" formatCode="_-[$R$-416]\ * #,##0.00_-;\-[$R$-416]\ * #,##0.00_-;_-[$R$-416]\ * &quot;-&quot;??_-;_-@_-"/>
    <numFmt numFmtId="170" formatCode="0.000%"/>
    <numFmt numFmtId="171" formatCode="0.0000000"/>
    <numFmt numFmtId="172" formatCode="_(* #,##0.000000_);_(* \(#,##0.000000\);_(* &quot;-&quot;??_);_(@_)"/>
    <numFmt numFmtId="173" formatCode="&quot;R$&quot;\ #,##0.00"/>
    <numFmt numFmtId="174" formatCode="0.00000"/>
  </numFmts>
  <fonts count="39" x14ac:knownFonts="1">
    <font>
      <sz val="10"/>
      <name val="Arial"/>
    </font>
    <font>
      <sz val="10"/>
      <name val="Arial"/>
    </font>
    <font>
      <u/>
      <sz val="7.5"/>
      <color indexed="12"/>
      <name val="Arial"/>
      <family val="2"/>
    </font>
    <font>
      <sz val="10"/>
      <name val="Arial"/>
      <family val="2"/>
    </font>
    <font>
      <sz val="8"/>
      <name val="Arial"/>
      <family val="2"/>
    </font>
    <font>
      <sz val="10"/>
      <color indexed="8"/>
      <name val="Arial"/>
      <family val="2"/>
    </font>
    <font>
      <b/>
      <sz val="11"/>
      <color indexed="8"/>
      <name val="Calibri"/>
      <family val="2"/>
    </font>
    <font>
      <sz val="10"/>
      <color indexed="8"/>
      <name val="Calibri"/>
      <family val="2"/>
    </font>
    <font>
      <b/>
      <sz val="11"/>
      <color indexed="8"/>
      <name val="Arial Narrow"/>
      <family val="2"/>
    </font>
    <font>
      <b/>
      <sz val="10"/>
      <color indexed="8"/>
      <name val="Arial Narrow"/>
      <family val="2"/>
    </font>
    <font>
      <b/>
      <sz val="9"/>
      <name val="Arial Narrow"/>
      <family val="2"/>
    </font>
    <font>
      <sz val="10"/>
      <name val="Arial Narrow"/>
      <family val="2"/>
    </font>
    <font>
      <sz val="9"/>
      <name val="Arial Narrow"/>
      <family val="2"/>
    </font>
    <font>
      <sz val="8"/>
      <color indexed="8"/>
      <name val="Arial Narrow"/>
      <family val="2"/>
    </font>
    <font>
      <sz val="8"/>
      <name val="Arial Narrow"/>
      <family val="2"/>
    </font>
    <font>
      <b/>
      <sz val="8"/>
      <color indexed="8"/>
      <name val="Arial Narrow"/>
      <family val="2"/>
    </font>
    <font>
      <b/>
      <sz val="8"/>
      <name val="Arial Narrow"/>
      <family val="2"/>
    </font>
    <font>
      <sz val="8"/>
      <color indexed="8"/>
      <name val="Arial Narrow"/>
      <family val="2"/>
    </font>
    <font>
      <b/>
      <sz val="9"/>
      <color indexed="8"/>
      <name val="Arial Narrow"/>
      <family val="2"/>
    </font>
    <font>
      <b/>
      <sz val="11"/>
      <name val="Arial Narrow"/>
      <family val="2"/>
    </font>
    <font>
      <u/>
      <sz val="8"/>
      <name val="Arial Narrow"/>
      <family val="2"/>
    </font>
    <font>
      <u/>
      <sz val="8"/>
      <color indexed="8"/>
      <name val="Arial Narrow"/>
      <family val="2"/>
    </font>
    <font>
      <b/>
      <sz val="10"/>
      <color indexed="8"/>
      <name val="Calibri"/>
      <family val="2"/>
    </font>
    <font>
      <b/>
      <sz val="10"/>
      <name val="Arial Narrow"/>
      <family val="2"/>
    </font>
    <font>
      <sz val="9"/>
      <color indexed="8"/>
      <name val="Arial Narrow"/>
      <family val="2"/>
    </font>
    <font>
      <sz val="11"/>
      <name val="Arial Narrow"/>
      <family val="2"/>
    </font>
    <font>
      <sz val="10"/>
      <color indexed="8"/>
      <name val="Arial Narrow"/>
      <family val="2"/>
    </font>
    <font>
      <sz val="8"/>
      <name val="Arial"/>
      <family val="2"/>
    </font>
    <font>
      <sz val="6.5"/>
      <name val="Arial Narrow"/>
      <family val="2"/>
    </font>
    <font>
      <sz val="7"/>
      <name val="Arial Narrow"/>
      <family val="2"/>
    </font>
    <font>
      <b/>
      <sz val="12"/>
      <name val="Arial Narrow"/>
      <family val="2"/>
    </font>
    <font>
      <sz val="12"/>
      <name val="Arial Narrow"/>
      <family val="2"/>
    </font>
    <font>
      <u/>
      <sz val="10"/>
      <color indexed="8"/>
      <name val="Arial Narrow"/>
      <family val="2"/>
    </font>
    <font>
      <sz val="11"/>
      <color theme="1"/>
      <name val="Calibri"/>
      <family val="2"/>
      <scheme val="minor"/>
    </font>
    <font>
      <b/>
      <sz val="8"/>
      <color rgb="FF000000"/>
      <name val="Arial Narrow"/>
      <family val="2"/>
    </font>
    <font>
      <sz val="10"/>
      <color rgb="FFFF0000"/>
      <name val="Arial"/>
      <family val="2"/>
    </font>
    <font>
      <sz val="8"/>
      <color rgb="FFFF0000"/>
      <name val="Arial Narrow"/>
      <family val="2"/>
    </font>
    <font>
      <b/>
      <sz val="8"/>
      <color rgb="FFFF0000"/>
      <name val="Arial Narrow"/>
      <family val="2"/>
    </font>
    <font>
      <b/>
      <sz val="11"/>
      <color theme="1"/>
      <name val="Arial Narrow"/>
      <family val="2"/>
    </font>
  </fonts>
  <fills count="9">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9ECACA"/>
        <bgColor indexed="64"/>
      </patternFill>
    </fill>
    <fill>
      <patternFill patternType="solid">
        <fgColor theme="0" tint="-0.14999847407452621"/>
        <bgColor indexed="64"/>
      </patternFill>
    </fill>
    <fill>
      <patternFill patternType="solid">
        <fgColor rgb="FFD7E9E9"/>
        <bgColor indexed="64"/>
      </patternFill>
    </fill>
    <fill>
      <patternFill patternType="solid">
        <fgColor theme="0" tint="-0.14996795556505021"/>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4" fontId="3" fillId="0" borderId="1">
      <alignment vertical="justify"/>
    </xf>
    <xf numFmtId="0" fontId="3" fillId="0" borderId="0"/>
    <xf numFmtId="0" fontId="3" fillId="0" borderId="0"/>
    <xf numFmtId="0" fontId="33" fillId="0" borderId="0"/>
    <xf numFmtId="0" fontId="33" fillId="0" borderId="0"/>
    <xf numFmtId="9" fontId="1" fillId="0" borderId="0" applyFont="0" applyFill="0" applyBorder="0" applyAlignment="0" applyProtection="0"/>
    <xf numFmtId="9"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cellStyleXfs>
  <cellXfs count="486">
    <xf numFmtId="0" fontId="0" fillId="0" borderId="0" xfId="0"/>
    <xf numFmtId="0" fontId="0" fillId="2" borderId="0" xfId="0" applyFill="1"/>
    <xf numFmtId="0" fontId="0" fillId="2" borderId="0" xfId="0" applyFill="1" applyBorder="1"/>
    <xf numFmtId="0" fontId="0" fillId="2" borderId="0" xfId="0" applyFill="1" applyAlignment="1">
      <alignment wrapText="1"/>
    </xf>
    <xf numFmtId="0" fontId="5" fillId="0" borderId="0" xfId="0" applyFont="1"/>
    <xf numFmtId="0" fontId="14" fillId="0" borderId="2" xfId="0" applyFont="1" applyBorder="1" applyAlignment="1">
      <alignment horizontal="center" vertical="center" wrapText="1"/>
    </xf>
    <xf numFmtId="0" fontId="14" fillId="0" borderId="2" xfId="0" applyFont="1" applyFill="1" applyBorder="1" applyAlignment="1">
      <alignment vertical="center" wrapText="1"/>
    </xf>
    <xf numFmtId="165" fontId="14" fillId="0" borderId="2" xfId="10" applyFont="1" applyFill="1" applyBorder="1" applyAlignment="1">
      <alignment horizontal="center" vertical="center" wrapText="1"/>
    </xf>
    <xf numFmtId="0" fontId="14" fillId="0" borderId="2" xfId="10" applyNumberFormat="1" applyFont="1" applyFill="1" applyBorder="1" applyAlignment="1">
      <alignment horizontal="center" vertical="center" wrapText="1"/>
    </xf>
    <xf numFmtId="0" fontId="14" fillId="0" borderId="2" xfId="0" applyFont="1" applyBorder="1" applyAlignment="1">
      <alignment vertical="center" wrapText="1"/>
    </xf>
    <xf numFmtId="165" fontId="14" fillId="0" borderId="2" xfId="10" applyFont="1" applyBorder="1" applyAlignment="1">
      <alignment horizontal="right" vertical="center" wrapText="1"/>
    </xf>
    <xf numFmtId="165" fontId="14" fillId="0" borderId="2" xfId="10" applyFont="1" applyBorder="1" applyAlignment="1">
      <alignment horizontal="left" vertical="center" wrapText="1"/>
    </xf>
    <xf numFmtId="0" fontId="15" fillId="3" borderId="2" xfId="0" applyFont="1" applyFill="1" applyBorder="1" applyAlignment="1">
      <alignment horizontal="center" vertical="center" wrapText="1"/>
    </xf>
    <xf numFmtId="0" fontId="16" fillId="4" borderId="2" xfId="10" applyNumberFormat="1" applyFont="1" applyFill="1" applyBorder="1" applyAlignment="1">
      <alignment horizontal="center" vertical="center" wrapText="1"/>
    </xf>
    <xf numFmtId="165" fontId="16" fillId="4" borderId="2" xfId="10" applyFont="1" applyFill="1" applyBorder="1" applyAlignment="1">
      <alignment horizontal="center" vertical="center" wrapText="1"/>
    </xf>
    <xf numFmtId="49" fontId="15" fillId="5" borderId="2" xfId="0" applyNumberFormat="1" applyFont="1" applyFill="1" applyBorder="1" applyAlignment="1">
      <alignment horizontal="center" vertical="center" wrapText="1"/>
    </xf>
    <xf numFmtId="165" fontId="17" fillId="0" borderId="2" xfId="10" applyFont="1" applyFill="1" applyBorder="1" applyAlignment="1">
      <alignment horizontal="center" vertical="center" wrapText="1"/>
    </xf>
    <xf numFmtId="165" fontId="14" fillId="0" borderId="2" xfId="10" applyFont="1" applyBorder="1" applyAlignment="1">
      <alignment horizontal="right"/>
    </xf>
    <xf numFmtId="0" fontId="4" fillId="0" borderId="0" xfId="0" applyFont="1"/>
    <xf numFmtId="165" fontId="15" fillId="4" borderId="2" xfId="1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wrapText="1"/>
    </xf>
    <xf numFmtId="0" fontId="16" fillId="3" borderId="3" xfId="0" applyFont="1" applyFill="1" applyBorder="1" applyAlignment="1">
      <alignment horizontal="center" vertical="center"/>
    </xf>
    <xf numFmtId="49" fontId="17" fillId="2" borderId="2" xfId="0" applyNumberFormat="1" applyFont="1" applyFill="1" applyBorder="1" applyAlignment="1">
      <alignment horizontal="center" vertical="center" wrapText="1"/>
    </xf>
    <xf numFmtId="10" fontId="17" fillId="2" borderId="2" xfId="0" applyNumberFormat="1" applyFont="1" applyFill="1" applyBorder="1" applyAlignment="1">
      <alignment vertical="center" wrapText="1"/>
    </xf>
    <xf numFmtId="4" fontId="17" fillId="2" borderId="2" xfId="0" applyNumberFormat="1" applyFont="1" applyFill="1" applyBorder="1" applyAlignment="1">
      <alignment vertical="center" wrapText="1"/>
    </xf>
    <xf numFmtId="10" fontId="15" fillId="5" borderId="2" xfId="0" applyNumberFormat="1" applyFont="1" applyFill="1" applyBorder="1" applyAlignment="1">
      <alignment vertical="center" wrapText="1"/>
    </xf>
    <xf numFmtId="0" fontId="11" fillId="0" borderId="0" xfId="0" applyFont="1" applyBorder="1"/>
    <xf numFmtId="4" fontId="16" fillId="4" borderId="2" xfId="3" applyFont="1" applyFill="1" applyBorder="1" applyAlignment="1">
      <alignment horizontal="center" vertical="center" wrapText="1"/>
    </xf>
    <xf numFmtId="4" fontId="16" fillId="4" borderId="2" xfId="3" applyFont="1" applyFill="1" applyBorder="1" applyAlignment="1">
      <alignment horizontal="center" vertical="center"/>
    </xf>
    <xf numFmtId="10" fontId="16" fillId="0" borderId="2" xfId="3" applyNumberFormat="1" applyFont="1" applyBorder="1" applyAlignment="1">
      <alignment horizontal="left" vertical="center"/>
    </xf>
    <xf numFmtId="10" fontId="14" fillId="0" borderId="2" xfId="3" applyNumberFormat="1" applyFont="1" applyBorder="1" applyAlignment="1">
      <alignment horizontal="center" vertical="center"/>
    </xf>
    <xf numFmtId="10" fontId="14" fillId="0" borderId="2" xfId="9" applyNumberFormat="1" applyFont="1" applyFill="1" applyBorder="1" applyAlignment="1">
      <alignment horizontal="center" vertical="center"/>
    </xf>
    <xf numFmtId="170" fontId="14" fillId="0" borderId="2" xfId="9" applyNumberFormat="1" applyFont="1" applyFill="1" applyBorder="1" applyAlignment="1">
      <alignment horizontal="center" vertical="center"/>
    </xf>
    <xf numFmtId="10" fontId="16" fillId="0" borderId="2" xfId="3" applyNumberFormat="1" applyFont="1" applyBorder="1" applyAlignment="1">
      <alignment horizontal="left" vertical="center" wrapText="1"/>
    </xf>
    <xf numFmtId="10" fontId="14" fillId="0" borderId="2" xfId="3" applyNumberFormat="1" applyFont="1" applyBorder="1" applyAlignment="1">
      <alignment horizontal="left" vertical="center" wrapText="1"/>
    </xf>
    <xf numFmtId="10" fontId="14" fillId="0" borderId="2" xfId="9" applyNumberFormat="1" applyFont="1" applyBorder="1" applyAlignment="1">
      <alignment horizontal="center" vertical="center"/>
    </xf>
    <xf numFmtId="170" fontId="14" fillId="0" borderId="2" xfId="9" applyNumberFormat="1" applyFont="1" applyBorder="1" applyAlignment="1">
      <alignment horizontal="center" vertical="center"/>
    </xf>
    <xf numFmtId="10" fontId="14" fillId="2" borderId="2" xfId="9" applyNumberFormat="1" applyFont="1" applyFill="1" applyBorder="1" applyAlignment="1">
      <alignment horizontal="center" vertical="center"/>
    </xf>
    <xf numFmtId="10" fontId="21" fillId="0" borderId="2" xfId="9" applyNumberFormat="1" applyFont="1" applyBorder="1" applyAlignment="1">
      <alignment horizontal="center" vertical="center"/>
    </xf>
    <xf numFmtId="10" fontId="17" fillId="0" borderId="2" xfId="9" applyNumberFormat="1" applyFont="1" applyBorder="1" applyAlignment="1">
      <alignment horizontal="center" vertical="center"/>
    </xf>
    <xf numFmtId="4" fontId="16" fillId="0" borderId="0" xfId="3" applyFont="1" applyFill="1" applyBorder="1" applyAlignment="1">
      <alignment horizontal="justify" vertical="center" wrapText="1"/>
    </xf>
    <xf numFmtId="10" fontId="15" fillId="0" borderId="0" xfId="9" applyNumberFormat="1" applyFont="1" applyFill="1" applyBorder="1" applyAlignment="1">
      <alignment horizontal="justify" vertical="center" wrapText="1"/>
    </xf>
    <xf numFmtId="10" fontId="16" fillId="0" borderId="0" xfId="9" applyNumberFormat="1" applyFont="1" applyFill="1" applyBorder="1" applyAlignment="1">
      <alignment horizontal="justify" vertical="center" wrapText="1"/>
    </xf>
    <xf numFmtId="0" fontId="10" fillId="2" borderId="4" xfId="0" applyFont="1" applyFill="1" applyBorder="1" applyAlignment="1">
      <alignment vertical="center" wrapText="1"/>
    </xf>
    <xf numFmtId="0" fontId="18" fillId="0" borderId="4" xfId="0" applyNumberFormat="1" applyFont="1" applyFill="1" applyBorder="1" applyAlignment="1">
      <alignment horizontal="right" vertical="center" wrapText="1"/>
    </xf>
    <xf numFmtId="164" fontId="14" fillId="0" borderId="2" xfId="2" applyFont="1" applyBorder="1" applyAlignment="1">
      <alignment vertical="center"/>
    </xf>
    <xf numFmtId="164" fontId="14" fillId="0" borderId="2" xfId="2" applyFont="1" applyFill="1" applyBorder="1" applyAlignment="1">
      <alignment vertical="center"/>
    </xf>
    <xf numFmtId="0" fontId="14" fillId="0" borderId="2" xfId="0" applyFont="1" applyFill="1" applyBorder="1" applyAlignment="1">
      <alignment horizontal="center" vertical="center"/>
    </xf>
    <xf numFmtId="0" fontId="16" fillId="6" borderId="2" xfId="0" applyFont="1" applyFill="1" applyBorder="1" applyAlignment="1">
      <alignment horizontal="center" vertical="center"/>
    </xf>
    <xf numFmtId="0" fontId="16" fillId="6" borderId="2" xfId="0" applyFont="1" applyFill="1" applyBorder="1" applyAlignment="1">
      <alignment vertical="center" wrapText="1"/>
    </xf>
    <xf numFmtId="0" fontId="16" fillId="6"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7" fillId="0" borderId="2" xfId="10" applyNumberFormat="1" applyFont="1" applyFill="1" applyBorder="1" applyAlignment="1">
      <alignment horizontal="center" vertical="center" wrapText="1"/>
    </xf>
    <xf numFmtId="0" fontId="15" fillId="4" borderId="2" xfId="10" applyNumberFormat="1" applyFont="1" applyFill="1" applyBorder="1" applyAlignment="1">
      <alignment horizontal="center" vertical="center" wrapText="1"/>
    </xf>
    <xf numFmtId="0" fontId="15" fillId="6" borderId="2" xfId="10" applyNumberFormat="1" applyFont="1" applyFill="1" applyBorder="1" applyAlignment="1">
      <alignment horizontal="center" vertical="center" wrapText="1"/>
    </xf>
    <xf numFmtId="165" fontId="15" fillId="6" borderId="2" xfId="10" applyFont="1" applyFill="1" applyBorder="1" applyAlignment="1">
      <alignment horizontal="center" vertical="center" wrapText="1"/>
    </xf>
    <xf numFmtId="0" fontId="16" fillId="6" borderId="2" xfId="10" applyNumberFormat="1" applyFont="1" applyFill="1" applyBorder="1" applyAlignment="1">
      <alignment horizontal="center" vertical="center" wrapText="1"/>
    </xf>
    <xf numFmtId="165" fontId="16" fillId="6" borderId="2" xfId="10" applyFont="1" applyFill="1" applyBorder="1" applyAlignment="1">
      <alignment horizontal="center" vertical="center" wrapText="1"/>
    </xf>
    <xf numFmtId="0" fontId="6" fillId="0" borderId="0" xfId="0" applyFont="1" applyAlignment="1">
      <alignment vertical="center"/>
    </xf>
    <xf numFmtId="0" fontId="22" fillId="0" borderId="0" xfId="0" applyFont="1" applyAlignment="1">
      <alignment vertical="center"/>
    </xf>
    <xf numFmtId="0" fontId="7" fillId="0" borderId="0" xfId="0" applyFont="1" applyAlignment="1">
      <alignment vertical="center"/>
    </xf>
    <xf numFmtId="0" fontId="3" fillId="0" borderId="0" xfId="0" applyFont="1"/>
    <xf numFmtId="0" fontId="34" fillId="7" borderId="2" xfId="0" applyFont="1" applyFill="1" applyBorder="1" applyAlignment="1">
      <alignment horizontal="center" vertical="center" wrapText="1"/>
    </xf>
    <xf numFmtId="168" fontId="34" fillId="7" borderId="2" xfId="12" applyNumberFormat="1" applyFont="1" applyFill="1" applyBorder="1" applyAlignment="1">
      <alignment horizontal="center" vertical="center" wrapText="1"/>
    </xf>
    <xf numFmtId="43" fontId="34" fillId="7" borderId="2" xfId="12" applyNumberFormat="1" applyFont="1" applyFill="1" applyBorder="1" applyAlignment="1">
      <alignment horizontal="center" vertical="center" wrapText="1"/>
    </xf>
    <xf numFmtId="169" fontId="34" fillId="7" borderId="2" xfId="12" applyNumberFormat="1" applyFont="1" applyFill="1" applyBorder="1" applyAlignment="1">
      <alignment horizontal="center" vertical="center" wrapText="1"/>
    </xf>
    <xf numFmtId="0" fontId="34" fillId="0" borderId="2" xfId="0" applyFont="1" applyBorder="1" applyAlignment="1">
      <alignment horizontal="center" vertical="center" wrapText="1"/>
    </xf>
    <xf numFmtId="168" fontId="34" fillId="0" borderId="2" xfId="12" applyNumberFormat="1" applyFont="1" applyFill="1" applyBorder="1" applyAlignment="1">
      <alignment horizontal="right" vertical="center" wrapText="1"/>
    </xf>
    <xf numFmtId="169" fontId="34" fillId="0" borderId="2" xfId="2" applyNumberFormat="1" applyFont="1" applyFill="1" applyBorder="1" applyAlignment="1">
      <alignment horizontal="right" vertical="center" wrapText="1"/>
    </xf>
    <xf numFmtId="0" fontId="13" fillId="0" borderId="2" xfId="0" applyFont="1" applyBorder="1" applyAlignment="1">
      <alignment horizontal="center" vertical="center" wrapText="1"/>
    </xf>
    <xf numFmtId="172" fontId="13" fillId="0" borderId="2" xfId="12" applyNumberFormat="1" applyFont="1" applyBorder="1" applyAlignment="1">
      <alignment horizontal="center" vertical="center" wrapText="1"/>
    </xf>
    <xf numFmtId="172" fontId="13" fillId="0" borderId="2" xfId="12"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164" fontId="15" fillId="0" borderId="2" xfId="2" applyFont="1" applyFill="1" applyBorder="1" applyAlignment="1">
      <alignment horizontal="center" vertical="center" wrapText="1"/>
    </xf>
    <xf numFmtId="0" fontId="11" fillId="0" borderId="0" xfId="0" applyFont="1"/>
    <xf numFmtId="0" fontId="13" fillId="4" borderId="2" xfId="0" applyFont="1" applyFill="1" applyBorder="1" applyAlignment="1">
      <alignment horizontal="center" vertical="center" wrapText="1"/>
    </xf>
    <xf numFmtId="0" fontId="14" fillId="4" borderId="2" xfId="0" applyFont="1" applyFill="1" applyBorder="1" applyAlignment="1">
      <alignment horizontal="left" vertical="center" wrapText="1"/>
    </xf>
    <xf numFmtId="165" fontId="13" fillId="4" borderId="2" xfId="12" applyFont="1" applyFill="1" applyBorder="1" applyAlignment="1">
      <alignment horizontal="center" vertical="center" wrapText="1"/>
    </xf>
    <xf numFmtId="164" fontId="13" fillId="4" borderId="2" xfId="2" applyFont="1" applyFill="1" applyBorder="1" applyAlignment="1">
      <alignment horizontal="center" vertical="center" wrapText="1"/>
    </xf>
    <xf numFmtId="164" fontId="13" fillId="4" borderId="2" xfId="2" applyFont="1" applyFill="1" applyBorder="1" applyAlignment="1">
      <alignment horizontal="right" vertical="center" wrapText="1"/>
    </xf>
    <xf numFmtId="0" fontId="16" fillId="3" borderId="2" xfId="0" applyFont="1" applyFill="1" applyBorder="1" applyAlignment="1">
      <alignment horizontal="center" vertical="center" wrapText="1"/>
    </xf>
    <xf numFmtId="2" fontId="0" fillId="0" borderId="0" xfId="0" applyNumberFormat="1"/>
    <xf numFmtId="1" fontId="17" fillId="0" borderId="2" xfId="10" applyNumberFormat="1" applyFont="1" applyFill="1" applyBorder="1" applyAlignment="1">
      <alignment horizontal="center" vertical="center" wrapText="1"/>
    </xf>
    <xf numFmtId="9" fontId="14" fillId="0" borderId="2" xfId="8" applyFont="1" applyBorder="1" applyAlignment="1">
      <alignment horizontal="left" vertical="center" wrapText="1"/>
    </xf>
    <xf numFmtId="0" fontId="14" fillId="0" borderId="0" xfId="0" applyFont="1"/>
    <xf numFmtId="0" fontId="26" fillId="0" borderId="0" xfId="0" applyFont="1"/>
    <xf numFmtId="3" fontId="18" fillId="0" borderId="5" xfId="0" applyNumberFormat="1" applyFont="1" applyBorder="1" applyAlignment="1">
      <alignment horizontal="center" vertical="center"/>
    </xf>
    <xf numFmtId="0" fontId="18" fillId="0" borderId="6" xfId="0" applyFont="1" applyBorder="1" applyAlignment="1">
      <alignment horizontal="center" vertical="center"/>
    </xf>
    <xf numFmtId="165" fontId="14" fillId="0" borderId="4" xfId="10" applyFont="1" applyBorder="1" applyAlignment="1">
      <alignment horizontal="left" vertical="center" wrapText="1"/>
    </xf>
    <xf numFmtId="165" fontId="14" fillId="0" borderId="7" xfId="10" applyFont="1" applyBorder="1" applyAlignment="1">
      <alignment horizontal="left" vertical="center" wrapText="1"/>
    </xf>
    <xf numFmtId="165" fontId="14" fillId="0" borderId="8" xfId="10" applyFont="1" applyBorder="1" applyAlignment="1">
      <alignment horizontal="left" vertical="center" wrapText="1"/>
    </xf>
    <xf numFmtId="0" fontId="13" fillId="0" borderId="0" xfId="0" applyFont="1" applyBorder="1" applyAlignment="1">
      <alignment horizontal="center" vertical="center" wrapText="1"/>
    </xf>
    <xf numFmtId="172" fontId="13" fillId="0" borderId="0" xfId="12" applyNumberFormat="1" applyFont="1" applyFill="1" applyBorder="1" applyAlignment="1">
      <alignment horizontal="center" vertical="center" wrapText="1"/>
    </xf>
    <xf numFmtId="164" fontId="13" fillId="0" borderId="0" xfId="2" applyFont="1" applyFill="1" applyBorder="1" applyAlignment="1">
      <alignment horizontal="center" vertical="center" wrapText="1"/>
    </xf>
    <xf numFmtId="164" fontId="15" fillId="0" borderId="0" xfId="2" applyFont="1" applyFill="1" applyBorder="1" applyAlignment="1">
      <alignment horizontal="center" vertical="center" wrapText="1"/>
    </xf>
    <xf numFmtId="165" fontId="14" fillId="0" borderId="2" xfId="12" applyFont="1" applyFill="1" applyBorder="1" applyAlignment="1">
      <alignment vertical="center"/>
    </xf>
    <xf numFmtId="172" fontId="13" fillId="0" borderId="2" xfId="12" applyNumberFormat="1" applyFont="1" applyFill="1" applyBorder="1" applyAlignment="1">
      <alignment vertical="center" wrapText="1"/>
    </xf>
    <xf numFmtId="164" fontId="13" fillId="0" borderId="2" xfId="2" applyFont="1" applyBorder="1" applyAlignment="1">
      <alignment vertical="center"/>
    </xf>
    <xf numFmtId="9" fontId="14" fillId="0" borderId="7" xfId="8" applyFont="1" applyBorder="1" applyAlignment="1">
      <alignment horizontal="left" vertical="center" wrapText="1"/>
    </xf>
    <xf numFmtId="165" fontId="16" fillId="6" borderId="2" xfId="12" applyFont="1" applyFill="1" applyBorder="1" applyAlignment="1">
      <alignment horizontal="center" vertical="center" wrapText="1"/>
    </xf>
    <xf numFmtId="0" fontId="14" fillId="0" borderId="2" xfId="10" applyNumberFormat="1" applyFont="1" applyBorder="1" applyAlignment="1">
      <alignment horizontal="left" vertical="center" wrapText="1"/>
    </xf>
    <xf numFmtId="0" fontId="34" fillId="0" borderId="2" xfId="0" applyFont="1" applyBorder="1" applyAlignment="1">
      <alignment horizontal="center" vertical="center" wrapText="1"/>
    </xf>
    <xf numFmtId="165" fontId="14" fillId="0" borderId="2" xfId="10" applyFont="1" applyFill="1" applyBorder="1" applyAlignment="1">
      <alignment horizontal="left" vertical="center" wrapText="1"/>
    </xf>
    <xf numFmtId="165" fontId="14" fillId="0" borderId="2" xfId="10" applyFont="1" applyFill="1" applyBorder="1" applyAlignment="1">
      <alignment horizontal="center" wrapText="1"/>
    </xf>
    <xf numFmtId="165" fontId="14" fillId="0" borderId="2" xfId="10" applyFont="1" applyBorder="1" applyAlignment="1">
      <alignment horizontal="left" wrapText="1"/>
    </xf>
    <xf numFmtId="0" fontId="13" fillId="0" borderId="2" xfId="10" applyNumberFormat="1" applyFont="1" applyFill="1" applyBorder="1" applyAlignment="1">
      <alignment horizontal="center" vertical="center" wrapText="1"/>
    </xf>
    <xf numFmtId="165" fontId="13" fillId="0" borderId="2" xfId="10" applyFont="1" applyFill="1" applyBorder="1" applyAlignment="1">
      <alignment horizontal="center" vertical="center" wrapText="1"/>
    </xf>
    <xf numFmtId="1" fontId="13" fillId="0" borderId="2" xfId="10" applyNumberFormat="1" applyFont="1" applyFill="1" applyBorder="1" applyAlignment="1">
      <alignment horizontal="center" vertical="center" wrapText="1"/>
    </xf>
    <xf numFmtId="1" fontId="15" fillId="6" borderId="2" xfId="10" applyNumberFormat="1" applyFont="1" applyFill="1" applyBorder="1" applyAlignment="1">
      <alignment horizontal="center" vertical="center" wrapText="1"/>
    </xf>
    <xf numFmtId="0" fontId="17" fillId="0" borderId="0" xfId="10" applyNumberFormat="1" applyFont="1" applyFill="1" applyBorder="1" applyAlignment="1">
      <alignment horizontal="center" vertical="center" wrapText="1"/>
    </xf>
    <xf numFmtId="165" fontId="17" fillId="0" borderId="0" xfId="10" applyFont="1" applyFill="1" applyBorder="1" applyAlignment="1">
      <alignment horizontal="center" vertical="center" wrapText="1"/>
    </xf>
    <xf numFmtId="0" fontId="14" fillId="0" borderId="0" xfId="10" applyNumberFormat="1" applyFont="1" applyFill="1" applyBorder="1" applyAlignment="1">
      <alignment horizontal="center" vertical="center" wrapText="1"/>
    </xf>
    <xf numFmtId="165" fontId="14" fillId="0" borderId="0" xfId="10" applyFont="1" applyBorder="1" applyAlignment="1">
      <alignment horizontal="left" vertical="center" wrapText="1"/>
    </xf>
    <xf numFmtId="0" fontId="11" fillId="0" borderId="0" xfId="0" applyFont="1" applyAlignment="1">
      <alignment vertical="distributed"/>
    </xf>
    <xf numFmtId="0" fontId="11" fillId="0" borderId="0" xfId="0" applyFont="1" applyAlignment="1">
      <alignment horizontal="justify" vertical="distributed"/>
    </xf>
    <xf numFmtId="0" fontId="24" fillId="0" borderId="6" xfId="0" applyFont="1" applyBorder="1" applyAlignment="1">
      <alignment horizontal="center" vertical="center"/>
    </xf>
    <xf numFmtId="164" fontId="17" fillId="4" borderId="2" xfId="2" applyFont="1" applyFill="1" applyBorder="1" applyAlignment="1">
      <alignment vertical="center" wrapText="1"/>
    </xf>
    <xf numFmtId="164" fontId="17" fillId="2" borderId="2" xfId="2" applyFont="1" applyFill="1" applyBorder="1" applyAlignment="1">
      <alignment vertical="center" wrapText="1"/>
    </xf>
    <xf numFmtId="0" fontId="35" fillId="0" borderId="0" xfId="0" applyFont="1"/>
    <xf numFmtId="165" fontId="28" fillId="0" borderId="2" xfId="10" applyFont="1" applyFill="1" applyBorder="1" applyAlignment="1">
      <alignment horizontal="center" wrapText="1"/>
    </xf>
    <xf numFmtId="165" fontId="14" fillId="0" borderId="2" xfId="10" applyFont="1" applyBorder="1" applyAlignment="1">
      <alignment horizontal="left"/>
    </xf>
    <xf numFmtId="164" fontId="13" fillId="0" borderId="2" xfId="2" applyFont="1" applyFill="1" applyBorder="1" applyAlignment="1">
      <alignment vertical="center"/>
    </xf>
    <xf numFmtId="0" fontId="14" fillId="0" borderId="0" xfId="5" applyFont="1" applyBorder="1" applyAlignment="1">
      <alignment horizontal="justify" vertical="center" wrapText="1"/>
    </xf>
    <xf numFmtId="0" fontId="10" fillId="2" borderId="9" xfId="0" applyFont="1" applyFill="1" applyBorder="1" applyAlignment="1">
      <alignment vertical="center"/>
    </xf>
    <xf numFmtId="0" fontId="0" fillId="2" borderId="10" xfId="0" applyFill="1" applyBorder="1"/>
    <xf numFmtId="0" fontId="16" fillId="3" borderId="9" xfId="0" applyFont="1" applyFill="1" applyBorder="1" applyAlignment="1">
      <alignment horizontal="center" vertical="center"/>
    </xf>
    <xf numFmtId="0" fontId="16" fillId="3" borderId="11" xfId="0" applyFont="1" applyFill="1" applyBorder="1" applyAlignment="1">
      <alignment horizontal="center" vertical="center"/>
    </xf>
    <xf numFmtId="10" fontId="15" fillId="5" borderId="12" xfId="0" applyNumberFormat="1" applyFont="1" applyFill="1" applyBorder="1" applyAlignment="1">
      <alignment vertical="center" wrapText="1"/>
    </xf>
    <xf numFmtId="49" fontId="15" fillId="5" borderId="13" xfId="0" applyNumberFormat="1" applyFont="1" applyFill="1" applyBorder="1" applyAlignment="1">
      <alignment horizontal="center" vertical="center" wrapText="1"/>
    </xf>
    <xf numFmtId="167" fontId="15" fillId="5" borderId="13" xfId="0" applyNumberFormat="1" applyFont="1" applyFill="1" applyBorder="1" applyAlignment="1">
      <alignment vertical="center" wrapText="1"/>
    </xf>
    <xf numFmtId="0" fontId="0" fillId="2" borderId="14" xfId="0" applyFill="1" applyBorder="1"/>
    <xf numFmtId="0" fontId="0" fillId="2" borderId="6" xfId="0" applyFill="1" applyBorder="1"/>
    <xf numFmtId="0" fontId="0" fillId="2" borderId="6" xfId="0" applyFill="1" applyBorder="1" applyAlignment="1">
      <alignment wrapText="1"/>
    </xf>
    <xf numFmtId="0" fontId="0" fillId="2" borderId="15" xfId="0" applyFill="1" applyBorder="1"/>
    <xf numFmtId="0" fontId="0" fillId="2" borderId="16" xfId="0" applyFill="1" applyBorder="1"/>
    <xf numFmtId="0" fontId="0" fillId="2" borderId="0" xfId="0" applyFill="1" applyBorder="1" applyAlignment="1">
      <alignment wrapText="1"/>
    </xf>
    <xf numFmtId="0" fontId="3" fillId="2" borderId="0" xfId="0" applyFont="1" applyFill="1" applyBorder="1"/>
    <xf numFmtId="0" fontId="3" fillId="2" borderId="0" xfId="0" applyFont="1" applyFill="1" applyBorder="1" applyAlignment="1">
      <alignment wrapText="1"/>
    </xf>
    <xf numFmtId="0" fontId="0" fillId="2" borderId="17" xfId="0" applyFill="1" applyBorder="1"/>
    <xf numFmtId="0" fontId="0" fillId="2" borderId="5" xfId="0" applyFill="1" applyBorder="1"/>
    <xf numFmtId="0" fontId="0" fillId="2" borderId="5" xfId="0" applyFill="1" applyBorder="1" applyAlignment="1">
      <alignment wrapText="1"/>
    </xf>
    <xf numFmtId="0" fontId="0" fillId="2" borderId="18" xfId="0" applyFill="1" applyBorder="1"/>
    <xf numFmtId="4" fontId="16" fillId="4" borderId="9" xfId="3" applyFont="1" applyFill="1" applyBorder="1" applyAlignment="1">
      <alignment horizontal="center" vertical="center" wrapText="1"/>
    </xf>
    <xf numFmtId="4" fontId="16" fillId="4" borderId="12" xfId="3" applyFont="1" applyFill="1" applyBorder="1" applyAlignment="1">
      <alignment horizontal="center" vertical="center" wrapText="1"/>
    </xf>
    <xf numFmtId="4" fontId="16" fillId="0" borderId="17" xfId="3" applyFont="1" applyFill="1" applyBorder="1" applyAlignment="1">
      <alignment horizontal="justify" vertical="center" wrapText="1"/>
    </xf>
    <xf numFmtId="4" fontId="16" fillId="0" borderId="5" xfId="3" applyFont="1" applyFill="1" applyBorder="1" applyAlignment="1">
      <alignment horizontal="justify" vertical="center" wrapText="1"/>
    </xf>
    <xf numFmtId="10" fontId="15" fillId="0" borderId="5" xfId="9" applyNumberFormat="1" applyFont="1" applyFill="1" applyBorder="1" applyAlignment="1">
      <alignment horizontal="justify" vertical="center" wrapText="1"/>
    </xf>
    <xf numFmtId="10" fontId="16" fillId="0" borderId="18" xfId="9" applyNumberFormat="1" applyFont="1" applyFill="1" applyBorder="1" applyAlignment="1">
      <alignment horizontal="justify" vertical="center" wrapText="1"/>
    </xf>
    <xf numFmtId="0" fontId="14" fillId="0" borderId="16" xfId="5" applyFont="1" applyBorder="1" applyAlignment="1">
      <alignment horizontal="justify" vertical="center" wrapText="1"/>
    </xf>
    <xf numFmtId="0" fontId="14" fillId="0" borderId="10" xfId="5" applyFont="1" applyBorder="1" applyAlignment="1">
      <alignment horizontal="justify" vertical="center" wrapText="1"/>
    </xf>
    <xf numFmtId="0" fontId="0" fillId="0" borderId="16" xfId="0" applyBorder="1"/>
    <xf numFmtId="0" fontId="0" fillId="0" borderId="0" xfId="0" applyBorder="1"/>
    <xf numFmtId="0" fontId="0" fillId="0" borderId="10" xfId="0" applyBorder="1"/>
    <xf numFmtId="3" fontId="24" fillId="0" borderId="18" xfId="0" applyNumberFormat="1" applyFont="1" applyBorder="1" applyAlignment="1">
      <alignment horizontal="center" vertical="center"/>
    </xf>
    <xf numFmtId="0" fontId="24" fillId="0" borderId="15" xfId="0" applyFont="1" applyBorder="1" applyAlignment="1">
      <alignment horizontal="center" vertical="center"/>
    </xf>
    <xf numFmtId="0" fontId="0" fillId="0" borderId="17" xfId="0" applyBorder="1"/>
    <xf numFmtId="0" fontId="0" fillId="0" borderId="5" xfId="0" applyBorder="1"/>
    <xf numFmtId="0" fontId="0" fillId="0" borderId="18" xfId="0" applyBorder="1"/>
    <xf numFmtId="0" fontId="14" fillId="0" borderId="0" xfId="0" applyFont="1" applyBorder="1" applyAlignment="1">
      <alignment horizontal="center" vertical="center" wrapText="1"/>
    </xf>
    <xf numFmtId="0" fontId="14" fillId="0" borderId="0" xfId="0" applyFont="1" applyBorder="1" applyAlignment="1">
      <alignment vertical="center" wrapText="1"/>
    </xf>
    <xf numFmtId="165" fontId="14" fillId="0" borderId="0" xfId="12" applyFont="1" applyFill="1" applyBorder="1" applyAlignment="1">
      <alignment vertical="center"/>
    </xf>
    <xf numFmtId="164" fontId="13" fillId="0" borderId="0" xfId="2" applyFont="1" applyBorder="1" applyAlignment="1">
      <alignment vertical="center"/>
    </xf>
    <xf numFmtId="164" fontId="13" fillId="4" borderId="0" xfId="2" applyFont="1" applyFill="1" applyBorder="1" applyAlignment="1">
      <alignment horizontal="right" vertical="center" wrapText="1"/>
    </xf>
    <xf numFmtId="169" fontId="34" fillId="0" borderId="0" xfId="2" applyNumberFormat="1" applyFont="1" applyFill="1" applyBorder="1" applyAlignment="1">
      <alignment horizontal="right" vertical="center" wrapText="1"/>
    </xf>
    <xf numFmtId="0" fontId="8"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xf>
    <xf numFmtId="0" fontId="10" fillId="0" borderId="0" xfId="0" applyNumberFormat="1" applyFont="1" applyBorder="1" applyAlignment="1">
      <alignment horizontal="left" vertical="center" wrapText="1"/>
    </xf>
    <xf numFmtId="0" fontId="23" fillId="0" borderId="0" xfId="0" applyNumberFormat="1" applyFont="1" applyBorder="1" applyAlignment="1">
      <alignment horizontal="center" vertical="center" wrapText="1"/>
    </xf>
    <xf numFmtId="0" fontId="34" fillId="7" borderId="0" xfId="12" applyNumberFormat="1" applyFont="1" applyFill="1" applyBorder="1" applyAlignment="1">
      <alignment horizontal="center" vertical="center" wrapText="1"/>
    </xf>
    <xf numFmtId="0" fontId="15" fillId="0" borderId="0" xfId="2" applyNumberFormat="1" applyFont="1" applyFill="1" applyBorder="1" applyAlignment="1">
      <alignment horizontal="center" vertical="center" wrapText="1"/>
    </xf>
    <xf numFmtId="0" fontId="13" fillId="0" borderId="0" xfId="0" applyNumberFormat="1" applyFont="1" applyBorder="1" applyAlignment="1">
      <alignment horizontal="center" vertical="center" wrapText="1"/>
    </xf>
    <xf numFmtId="0" fontId="13" fillId="4" borderId="0" xfId="2" applyNumberFormat="1" applyFont="1" applyFill="1" applyBorder="1" applyAlignment="1">
      <alignment horizontal="right" vertical="center" wrapText="1"/>
    </xf>
    <xf numFmtId="0" fontId="14" fillId="0" borderId="0" xfId="8" applyNumberFormat="1" applyFont="1" applyBorder="1" applyAlignment="1">
      <alignment vertical="center"/>
    </xf>
    <xf numFmtId="0" fontId="34" fillId="0" borderId="0" xfId="2" applyNumberFormat="1" applyFont="1" applyFill="1" applyBorder="1" applyAlignment="1">
      <alignment horizontal="right" vertical="center" wrapText="1"/>
    </xf>
    <xf numFmtId="0" fontId="14" fillId="0" borderId="0" xfId="0" applyNumberFormat="1" applyFont="1" applyBorder="1" applyAlignment="1">
      <alignment horizontal="center" vertical="center" wrapText="1"/>
    </xf>
    <xf numFmtId="0" fontId="11" fillId="0" borderId="0" xfId="0" applyNumberFormat="1" applyFont="1"/>
    <xf numFmtId="0" fontId="0" fillId="0" borderId="0" xfId="0" applyNumberFormat="1"/>
    <xf numFmtId="0" fontId="36" fillId="4" borderId="2" xfId="0" applyFont="1" applyFill="1" applyBorder="1" applyAlignment="1">
      <alignment horizontal="center" vertical="center" wrapText="1"/>
    </xf>
    <xf numFmtId="165" fontId="36" fillId="4" borderId="2" xfId="12" applyFont="1" applyFill="1" applyBorder="1" applyAlignment="1">
      <alignment horizontal="center" vertical="center" wrapText="1"/>
    </xf>
    <xf numFmtId="164" fontId="36" fillId="4" borderId="2" xfId="2" applyFont="1" applyFill="1" applyBorder="1" applyAlignment="1">
      <alignment horizontal="center" vertical="center" wrapText="1"/>
    </xf>
    <xf numFmtId="164" fontId="36" fillId="4" borderId="2" xfId="2" applyFont="1" applyFill="1" applyBorder="1" applyAlignment="1">
      <alignment horizontal="right" vertical="center" wrapText="1"/>
    </xf>
    <xf numFmtId="0" fontId="37" fillId="0" borderId="2" xfId="0" applyFont="1" applyBorder="1" applyAlignment="1">
      <alignment horizontal="center" vertical="center" wrapText="1"/>
    </xf>
    <xf numFmtId="168" fontId="37" fillId="0" borderId="2" xfId="12" applyNumberFormat="1" applyFont="1" applyFill="1" applyBorder="1" applyAlignment="1">
      <alignment horizontal="right" vertical="center" wrapText="1"/>
    </xf>
    <xf numFmtId="169" fontId="37" fillId="0" borderId="2" xfId="2" applyNumberFormat="1" applyFont="1" applyFill="1" applyBorder="1" applyAlignment="1">
      <alignment horizontal="right" vertical="center" wrapText="1"/>
    </xf>
    <xf numFmtId="0" fontId="36" fillId="0" borderId="2" xfId="0" applyFont="1" applyBorder="1" applyAlignment="1">
      <alignment horizontal="center" vertical="center" wrapText="1"/>
    </xf>
    <xf numFmtId="165" fontId="36" fillId="0" borderId="2" xfId="12" applyFont="1" applyFill="1" applyBorder="1" applyAlignment="1">
      <alignment vertical="center"/>
    </xf>
    <xf numFmtId="172" fontId="36" fillId="0" borderId="2" xfId="12" applyNumberFormat="1" applyFont="1" applyFill="1" applyBorder="1" applyAlignment="1">
      <alignment vertical="center" wrapText="1"/>
    </xf>
    <xf numFmtId="164" fontId="36" fillId="0" borderId="2" xfId="2" applyFont="1" applyBorder="1" applyAlignment="1">
      <alignment vertical="center"/>
    </xf>
    <xf numFmtId="172" fontId="36" fillId="0" borderId="2" xfId="12" applyNumberFormat="1" applyFont="1" applyFill="1" applyBorder="1" applyAlignment="1">
      <alignment horizontal="center" vertical="center" wrapText="1"/>
    </xf>
    <xf numFmtId="164" fontId="36" fillId="0" borderId="2" xfId="2" applyFont="1" applyFill="1" applyBorder="1" applyAlignment="1">
      <alignment horizontal="center" vertical="center" wrapText="1"/>
    </xf>
    <xf numFmtId="164" fontId="37" fillId="0" borderId="2" xfId="2" applyFont="1" applyFill="1" applyBorder="1" applyAlignment="1">
      <alignment horizontal="center" vertical="center" wrapText="1"/>
    </xf>
    <xf numFmtId="0" fontId="36" fillId="0" borderId="0" xfId="0" applyFont="1" applyBorder="1" applyAlignment="1">
      <alignment horizontal="center" vertical="center" wrapText="1"/>
    </xf>
    <xf numFmtId="172" fontId="36" fillId="0" borderId="0" xfId="12" applyNumberFormat="1" applyFont="1" applyFill="1" applyBorder="1" applyAlignment="1">
      <alignment horizontal="center" vertical="center" wrapText="1"/>
    </xf>
    <xf numFmtId="164" fontId="36" fillId="0" borderId="0" xfId="2" applyFont="1" applyFill="1" applyBorder="1" applyAlignment="1">
      <alignment horizontal="center" vertical="center" wrapText="1"/>
    </xf>
    <xf numFmtId="164" fontId="37" fillId="0" borderId="0" xfId="2" applyFont="1" applyFill="1" applyBorder="1" applyAlignment="1">
      <alignment horizontal="center" vertical="center" wrapText="1"/>
    </xf>
    <xf numFmtId="0" fontId="0" fillId="0" borderId="0" xfId="0" applyAlignment="1"/>
    <xf numFmtId="0" fontId="36" fillId="4" borderId="2" xfId="0" applyFont="1" applyFill="1" applyBorder="1" applyAlignment="1">
      <alignment horizontal="center" vertical="center"/>
    </xf>
    <xf numFmtId="0" fontId="37" fillId="0" borderId="2" xfId="0" applyFont="1" applyBorder="1" applyAlignment="1">
      <alignment horizontal="center" vertical="center"/>
    </xf>
    <xf numFmtId="0" fontId="36" fillId="0" borderId="2" xfId="0" applyFont="1" applyBorder="1" applyAlignment="1">
      <alignment vertical="center"/>
    </xf>
    <xf numFmtId="0" fontId="36" fillId="0" borderId="2" xfId="0" applyFont="1" applyBorder="1" applyAlignment="1">
      <alignment horizontal="center" vertical="center"/>
    </xf>
    <xf numFmtId="0" fontId="36" fillId="0" borderId="0" xfId="0" applyFont="1" applyBorder="1" applyAlignment="1">
      <alignment horizontal="center" vertical="center"/>
    </xf>
    <xf numFmtId="0" fontId="14" fillId="8" borderId="0" xfId="8" applyNumberFormat="1" applyFont="1" applyFill="1" applyBorder="1" applyAlignment="1">
      <alignment vertical="center"/>
    </xf>
    <xf numFmtId="174" fontId="13" fillId="0" borderId="0" xfId="12" applyNumberFormat="1" applyFont="1" applyFill="1" applyBorder="1" applyAlignment="1">
      <alignment vertical="center" wrapText="1"/>
    </xf>
    <xf numFmtId="0" fontId="13" fillId="4" borderId="2" xfId="0" applyFont="1" applyFill="1" applyBorder="1" applyAlignment="1">
      <alignment horizontal="left" vertical="center" wrapText="1"/>
    </xf>
    <xf numFmtId="171" fontId="14" fillId="0" borderId="2" xfId="12" applyNumberFormat="1" applyFont="1" applyFill="1" applyBorder="1" applyAlignment="1">
      <alignment vertical="center" wrapText="1"/>
    </xf>
    <xf numFmtId="0" fontId="14" fillId="0" borderId="19" xfId="10" applyNumberFormat="1" applyFont="1" applyFill="1" applyBorder="1" applyAlignment="1">
      <alignment vertical="center" wrapText="1"/>
    </xf>
    <xf numFmtId="165" fontId="14" fillId="0" borderId="2" xfId="10" applyFont="1" applyFill="1" applyBorder="1" applyAlignment="1">
      <alignment horizontal="left" vertical="center"/>
    </xf>
    <xf numFmtId="0" fontId="0" fillId="0" borderId="0" xfId="0" applyFill="1"/>
    <xf numFmtId="165" fontId="14" fillId="0" borderId="0" xfId="10" applyFont="1" applyFill="1" applyBorder="1" applyAlignment="1">
      <alignment horizontal="left" vertical="center" wrapText="1"/>
    </xf>
    <xf numFmtId="2" fontId="14" fillId="0" borderId="2" xfId="10" applyNumberFormat="1" applyFont="1" applyFill="1" applyBorder="1" applyAlignment="1">
      <alignment horizontal="left" vertical="center" wrapText="1"/>
    </xf>
    <xf numFmtId="1" fontId="15" fillId="4" borderId="2" xfId="10" applyNumberFormat="1" applyFont="1" applyFill="1" applyBorder="1" applyAlignment="1">
      <alignment horizontal="center" vertical="center" wrapText="1"/>
    </xf>
    <xf numFmtId="1" fontId="16" fillId="6" borderId="2" xfId="0" applyNumberFormat="1" applyFont="1" applyFill="1" applyBorder="1" applyAlignment="1">
      <alignment horizontal="center" vertical="center"/>
    </xf>
    <xf numFmtId="0" fontId="14" fillId="8" borderId="2" xfId="0" applyFont="1" applyFill="1" applyBorder="1" applyAlignment="1">
      <alignment horizontal="center" vertical="center" wrapText="1"/>
    </xf>
    <xf numFmtId="0" fontId="14" fillId="8" borderId="2" xfId="0" applyFont="1" applyFill="1" applyBorder="1" applyAlignment="1">
      <alignment vertical="center" wrapText="1"/>
    </xf>
    <xf numFmtId="165" fontId="14" fillId="8" borderId="2" xfId="12" applyFont="1" applyFill="1" applyBorder="1" applyAlignment="1">
      <alignment vertical="center"/>
    </xf>
    <xf numFmtId="172" fontId="13" fillId="8" borderId="2" xfId="12" applyNumberFormat="1" applyFont="1" applyFill="1" applyBorder="1" applyAlignment="1">
      <alignment vertical="center" wrapText="1"/>
    </xf>
    <xf numFmtId="164" fontId="13" fillId="8" borderId="2" xfId="2" applyFont="1" applyFill="1" applyBorder="1" applyAlignment="1">
      <alignment vertical="center"/>
    </xf>
    <xf numFmtId="164" fontId="14" fillId="8" borderId="2" xfId="2" applyFont="1" applyFill="1" applyBorder="1" applyAlignment="1">
      <alignment vertical="center"/>
    </xf>
    <xf numFmtId="165" fontId="14" fillId="0" borderId="0" xfId="10" applyFont="1" applyBorder="1" applyAlignment="1">
      <alignment horizontal="left"/>
    </xf>
    <xf numFmtId="165" fontId="14" fillId="0" borderId="0" xfId="10" applyFont="1" applyFill="1" applyBorder="1" applyAlignment="1">
      <alignment horizontal="center" vertical="center" wrapText="1"/>
    </xf>
    <xf numFmtId="171" fontId="14" fillId="0" borderId="0" xfId="12" applyNumberFormat="1" applyFont="1" applyFill="1" applyBorder="1" applyAlignment="1">
      <alignment vertical="center" wrapText="1"/>
    </xf>
    <xf numFmtId="0" fontId="0" fillId="0" borderId="0" xfId="0" applyAlignment="1">
      <alignment horizontal="center" vertical="center"/>
    </xf>
    <xf numFmtId="166" fontId="14" fillId="0" borderId="2" xfId="10" applyNumberFormat="1" applyFont="1" applyBorder="1" applyAlignment="1">
      <alignment horizontal="left" vertical="center" wrapText="1"/>
    </xf>
    <xf numFmtId="1" fontId="13" fillId="0" borderId="2" xfId="10" applyNumberFormat="1" applyFont="1" applyFill="1" applyBorder="1" applyAlignment="1">
      <alignment horizontal="left" vertical="center" wrapText="1"/>
    </xf>
    <xf numFmtId="165" fontId="13" fillId="0" borderId="2" xfId="12" applyNumberFormat="1" applyFont="1" applyBorder="1" applyAlignment="1">
      <alignment horizontal="center" vertical="center" wrapText="1"/>
    </xf>
    <xf numFmtId="0" fontId="19" fillId="0" borderId="4" xfId="0" applyFont="1" applyBorder="1" applyAlignment="1">
      <alignment vertical="center" wrapText="1"/>
    </xf>
    <xf numFmtId="0" fontId="19" fillId="0" borderId="7" xfId="0" applyFont="1" applyBorder="1" applyAlignment="1">
      <alignment vertical="center"/>
    </xf>
    <xf numFmtId="0" fontId="19" fillId="0" borderId="8" xfId="0" applyFont="1" applyBorder="1" applyAlignment="1">
      <alignment vertical="center"/>
    </xf>
    <xf numFmtId="0" fontId="23" fillId="4" borderId="2" xfId="0" applyNumberFormat="1" applyFont="1" applyFill="1" applyBorder="1" applyAlignment="1">
      <alignment horizontal="center" vertical="center" wrapText="1"/>
    </xf>
    <xf numFmtId="1" fontId="23" fillId="4" borderId="2"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2" xfId="0" applyFont="1" applyFill="1" applyBorder="1" applyAlignment="1">
      <alignment vertical="center"/>
    </xf>
    <xf numFmtId="165" fontId="23" fillId="4" borderId="2" xfId="10" applyFont="1" applyFill="1" applyBorder="1" applyAlignment="1">
      <alignment horizontal="right" vertical="center" wrapText="1"/>
    </xf>
    <xf numFmtId="164" fontId="23" fillId="4" borderId="2" xfId="2" applyFont="1" applyFill="1" applyBorder="1" applyAlignment="1">
      <alignment horizontal="right"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164" fontId="11" fillId="0" borderId="2" xfId="2" applyFont="1" applyFill="1" applyBorder="1" applyAlignment="1">
      <alignment vertical="center"/>
    </xf>
    <xf numFmtId="164" fontId="11" fillId="0" borderId="2" xfId="2" applyFont="1" applyFill="1" applyBorder="1" applyAlignment="1">
      <alignment horizontal="right"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165" fontId="11" fillId="0" borderId="2" xfId="10" applyFont="1" applyBorder="1" applyAlignment="1">
      <alignment vertical="center"/>
    </xf>
    <xf numFmtId="164" fontId="11" fillId="0" borderId="2" xfId="2" applyFont="1" applyBorder="1" applyAlignment="1">
      <alignment vertical="center"/>
    </xf>
    <xf numFmtId="164" fontId="23" fillId="0" borderId="2" xfId="2" applyFont="1" applyBorder="1" applyAlignment="1">
      <alignment vertical="center" wrapText="1"/>
    </xf>
    <xf numFmtId="164" fontId="23" fillId="0" borderId="2" xfId="2" applyFont="1" applyFill="1" applyBorder="1" applyAlignment="1">
      <alignment horizontal="right" vertical="center" wrapText="1"/>
    </xf>
    <xf numFmtId="0" fontId="23" fillId="4" borderId="2" xfId="0" applyFont="1" applyFill="1" applyBorder="1" applyAlignment="1">
      <alignment horizontal="center" vertical="center"/>
    </xf>
    <xf numFmtId="164" fontId="23" fillId="4" borderId="2" xfId="2" applyFont="1" applyFill="1" applyBorder="1" applyAlignment="1">
      <alignment vertical="center"/>
    </xf>
    <xf numFmtId="164" fontId="23" fillId="4" borderId="2" xfId="2" applyFont="1" applyFill="1" applyBorder="1" applyAlignment="1">
      <alignment vertical="center" wrapText="1"/>
    </xf>
    <xf numFmtId="1" fontId="11" fillId="0" borderId="2" xfId="12" applyNumberFormat="1" applyFont="1" applyFill="1" applyBorder="1" applyAlignment="1">
      <alignment horizontal="center" vertical="center" wrapText="1"/>
    </xf>
    <xf numFmtId="0" fontId="11" fillId="0" borderId="2" xfId="12" applyNumberFormat="1" applyFont="1" applyFill="1" applyBorder="1" applyAlignment="1">
      <alignment horizontal="center" vertical="center" wrapText="1"/>
    </xf>
    <xf numFmtId="0" fontId="11" fillId="0" borderId="2" xfId="12" applyNumberFormat="1" applyFont="1" applyFill="1" applyBorder="1" applyAlignment="1">
      <alignment horizontal="left" vertical="center" wrapText="1"/>
    </xf>
    <xf numFmtId="165" fontId="11" fillId="0" borderId="2" xfId="12" applyFont="1" applyFill="1" applyBorder="1" applyAlignment="1">
      <alignment horizontal="center" vertical="center" wrapText="1"/>
    </xf>
    <xf numFmtId="164" fontId="11" fillId="0" borderId="2" xfId="2" applyFont="1" applyFill="1" applyBorder="1" applyAlignment="1">
      <alignment horizontal="right" vertical="center"/>
    </xf>
    <xf numFmtId="0" fontId="23" fillId="4" borderId="2" xfId="0" applyFont="1" applyFill="1" applyBorder="1" applyAlignment="1">
      <alignment vertical="center" wrapText="1"/>
    </xf>
    <xf numFmtId="0" fontId="11" fillId="0" borderId="2" xfId="0" applyFont="1" applyBorder="1" applyAlignment="1">
      <alignment vertical="center"/>
    </xf>
    <xf numFmtId="0" fontId="23" fillId="6" borderId="2"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2" xfId="0" applyFont="1" applyFill="1" applyBorder="1" applyAlignment="1">
      <alignment vertical="center" wrapText="1"/>
    </xf>
    <xf numFmtId="164" fontId="23" fillId="6" borderId="2" xfId="2" applyFont="1" applyFill="1" applyBorder="1" applyAlignment="1">
      <alignment vertical="center"/>
    </xf>
    <xf numFmtId="1" fontId="11" fillId="0" borderId="2" xfId="0" applyNumberFormat="1" applyFont="1" applyBorder="1" applyAlignment="1">
      <alignment horizontal="center" vertical="center"/>
    </xf>
    <xf numFmtId="164" fontId="23" fillId="0" borderId="2" xfId="2" applyFont="1" applyFill="1" applyBorder="1" applyAlignment="1">
      <alignment horizontal="center" vertical="center" wrapText="1"/>
    </xf>
    <xf numFmtId="1" fontId="11" fillId="0" borderId="2" xfId="0" applyNumberFormat="1" applyFont="1" applyFill="1" applyBorder="1" applyAlignment="1">
      <alignment horizontal="center" vertical="center"/>
    </xf>
    <xf numFmtId="0" fontId="11" fillId="0" borderId="2" xfId="0" applyFont="1" applyFill="1" applyBorder="1" applyAlignment="1">
      <alignment horizontal="left" wrapText="1"/>
    </xf>
    <xf numFmtId="0" fontId="11" fillId="0" borderId="2" xfId="0" applyFont="1" applyBorder="1" applyAlignment="1">
      <alignment horizontal="left" wrapText="1"/>
    </xf>
    <xf numFmtId="165" fontId="11" fillId="0" borderId="2" xfId="12" applyFont="1" applyFill="1" applyBorder="1" applyAlignment="1">
      <alignment horizontal="left" vertical="center" wrapText="1"/>
    </xf>
    <xf numFmtId="164" fontId="23" fillId="0" borderId="2" xfId="2" applyFont="1" applyBorder="1" applyAlignment="1">
      <alignment horizontal="right" vertical="center" wrapText="1"/>
    </xf>
    <xf numFmtId="0" fontId="19" fillId="0" borderId="4" xfId="0" applyFont="1" applyBorder="1" applyAlignment="1">
      <alignment horizontal="right" vertical="center"/>
    </xf>
    <xf numFmtId="49" fontId="19" fillId="0" borderId="8" xfId="0" applyNumberFormat="1" applyFont="1" applyBorder="1" applyAlignment="1">
      <alignment vertical="center"/>
    </xf>
    <xf numFmtId="0" fontId="19" fillId="0" borderId="20" xfId="0" applyFont="1" applyBorder="1" applyAlignment="1">
      <alignment horizontal="right" vertical="center"/>
    </xf>
    <xf numFmtId="10" fontId="19" fillId="0" borderId="21" xfId="0" applyNumberFormat="1" applyFont="1" applyBorder="1" applyAlignment="1">
      <alignment horizontal="center" vertical="center"/>
    </xf>
    <xf numFmtId="10" fontId="19" fillId="0" borderId="21" xfId="9" applyNumberFormat="1" applyFont="1" applyFill="1" applyBorder="1" applyAlignment="1">
      <alignment horizontal="center" vertical="center"/>
    </xf>
    <xf numFmtId="10" fontId="19" fillId="0" borderId="8" xfId="0" applyNumberFormat="1" applyFont="1" applyBorder="1" applyAlignment="1">
      <alignment horizontal="left" vertical="center"/>
    </xf>
    <xf numFmtId="0" fontId="19" fillId="0" borderId="7" xfId="0" applyFont="1" applyBorder="1" applyAlignment="1">
      <alignment horizontal="right" vertical="center"/>
    </xf>
    <xf numFmtId="10" fontId="19" fillId="0" borderId="8" xfId="9" applyNumberFormat="1" applyFont="1" applyFill="1" applyBorder="1" applyAlignment="1">
      <alignment horizontal="left" vertical="center"/>
    </xf>
    <xf numFmtId="165" fontId="11" fillId="0" borderId="2" xfId="10" applyFont="1" applyBorder="1" applyAlignment="1">
      <alignment horizontal="center" vertical="center"/>
    </xf>
    <xf numFmtId="165" fontId="23" fillId="4" borderId="2" xfId="10" applyFont="1" applyFill="1" applyBorder="1" applyAlignment="1">
      <alignment horizontal="center" vertical="center"/>
    </xf>
    <xf numFmtId="165" fontId="11" fillId="0" borderId="2" xfId="10" applyFont="1" applyFill="1" applyBorder="1" applyAlignment="1">
      <alignment horizontal="center" vertical="center"/>
    </xf>
    <xf numFmtId="165" fontId="23" fillId="6" borderId="2" xfId="10" applyFont="1" applyFill="1" applyBorder="1" applyAlignment="1">
      <alignment horizontal="center" vertical="center"/>
    </xf>
    <xf numFmtId="164" fontId="30" fillId="3" borderId="2" xfId="2" applyFont="1" applyFill="1" applyBorder="1" applyAlignment="1">
      <alignment vertical="center" wrapText="1"/>
    </xf>
    <xf numFmtId="0" fontId="11" fillId="0" borderId="2" xfId="0" applyFont="1" applyBorder="1" applyAlignment="1">
      <alignment horizontal="left" vertical="center" wrapText="1"/>
    </xf>
    <xf numFmtId="0" fontId="14" fillId="4" borderId="2" xfId="0" applyFont="1" applyFill="1" applyBorder="1" applyAlignment="1">
      <alignment horizontal="center" vertical="center" wrapText="1"/>
    </xf>
    <xf numFmtId="165" fontId="11" fillId="0" borderId="2" xfId="10" applyNumberFormat="1" applyFont="1" applyFill="1" applyBorder="1" applyAlignment="1">
      <alignment horizontal="center" vertical="center"/>
    </xf>
    <xf numFmtId="43" fontId="5" fillId="0" borderId="0" xfId="0" applyNumberFormat="1" applyFont="1"/>
    <xf numFmtId="165" fontId="14" fillId="0" borderId="2" xfId="12" applyFont="1" applyFill="1" applyBorder="1" applyAlignment="1">
      <alignment horizontal="center" vertical="center"/>
    </xf>
    <xf numFmtId="3" fontId="26" fillId="0" borderId="5" xfId="0" applyNumberFormat="1" applyFont="1" applyBorder="1" applyAlignment="1">
      <alignment horizontal="center" vertical="center"/>
    </xf>
    <xf numFmtId="10" fontId="17" fillId="2" borderId="4" xfId="0" applyNumberFormat="1" applyFont="1" applyFill="1" applyBorder="1" applyAlignment="1">
      <alignment vertical="center" wrapText="1"/>
    </xf>
    <xf numFmtId="164" fontId="17" fillId="2" borderId="4" xfId="2" applyFont="1" applyFill="1" applyBorder="1" applyAlignment="1">
      <alignment vertical="center" wrapText="1"/>
    </xf>
    <xf numFmtId="10" fontId="17" fillId="2" borderId="22" xfId="0" applyNumberFormat="1" applyFont="1" applyFill="1" applyBorder="1" applyAlignment="1">
      <alignment vertical="center" wrapText="1"/>
    </xf>
    <xf numFmtId="165" fontId="17" fillId="2" borderId="22" xfId="10" applyFont="1" applyFill="1" applyBorder="1" applyAlignment="1">
      <alignment vertical="center" wrapText="1"/>
    </xf>
    <xf numFmtId="164" fontId="17" fillId="4" borderId="2" xfId="2" applyNumberFormat="1" applyFont="1" applyFill="1" applyBorder="1" applyAlignment="1">
      <alignment vertical="center" wrapText="1"/>
    </xf>
    <xf numFmtId="170" fontId="17" fillId="4" borderId="2" xfId="0" applyNumberFormat="1" applyFont="1" applyFill="1" applyBorder="1" applyAlignment="1">
      <alignment vertical="center" wrapText="1"/>
    </xf>
    <xf numFmtId="167" fontId="15" fillId="5" borderId="23" xfId="0" applyNumberFormat="1" applyFont="1" applyFill="1" applyBorder="1" applyAlignment="1">
      <alignment vertical="center" wrapText="1"/>
    </xf>
    <xf numFmtId="10" fontId="23" fillId="0" borderId="9" xfId="3" applyNumberFormat="1" applyFont="1" applyBorder="1" applyAlignment="1">
      <alignment horizontal="left" vertical="center"/>
    </xf>
    <xf numFmtId="10" fontId="11" fillId="0" borderId="2" xfId="3" applyNumberFormat="1" applyFont="1" applyBorder="1" applyAlignment="1">
      <alignment horizontal="center" vertical="center"/>
    </xf>
    <xf numFmtId="10" fontId="11" fillId="0" borderId="2" xfId="9" applyNumberFormat="1" applyFont="1" applyFill="1" applyBorder="1" applyAlignment="1">
      <alignment horizontal="center" vertical="center"/>
    </xf>
    <xf numFmtId="170" fontId="11" fillId="0" borderId="12" xfId="9" applyNumberFormat="1" applyFont="1" applyFill="1" applyBorder="1" applyAlignment="1">
      <alignment horizontal="center" vertical="center"/>
    </xf>
    <xf numFmtId="10" fontId="23" fillId="0" borderId="9" xfId="3" applyNumberFormat="1" applyFont="1" applyBorder="1" applyAlignment="1">
      <alignment horizontal="left" vertical="center" wrapText="1"/>
    </xf>
    <xf numFmtId="10" fontId="11" fillId="0" borderId="9" xfId="3" applyNumberFormat="1" applyFont="1" applyBorder="1" applyAlignment="1">
      <alignment horizontal="left" vertical="center" wrapText="1"/>
    </xf>
    <xf numFmtId="10" fontId="11" fillId="0" borderId="2" xfId="9" applyNumberFormat="1" applyFont="1" applyBorder="1" applyAlignment="1">
      <alignment horizontal="center" vertical="center"/>
    </xf>
    <xf numFmtId="170" fontId="11" fillId="0" borderId="12" xfId="9" applyNumberFormat="1" applyFont="1" applyBorder="1" applyAlignment="1">
      <alignment horizontal="center" vertical="center"/>
    </xf>
    <xf numFmtId="10" fontId="11" fillId="2" borderId="2" xfId="9" applyNumberFormat="1" applyFont="1" applyFill="1" applyBorder="1" applyAlignment="1">
      <alignment horizontal="center" vertical="center"/>
    </xf>
    <xf numFmtId="10" fontId="32" fillId="0" borderId="2" xfId="9" applyNumberFormat="1" applyFont="1" applyBorder="1" applyAlignment="1">
      <alignment horizontal="center" vertical="center"/>
    </xf>
    <xf numFmtId="10" fontId="26" fillId="0" borderId="2" xfId="9" applyNumberFormat="1" applyFont="1" applyBorder="1" applyAlignment="1">
      <alignment horizontal="center" vertical="center"/>
    </xf>
    <xf numFmtId="0" fontId="25" fillId="0" borderId="0" xfId="0" applyFont="1" applyAlignment="1">
      <alignment horizontal="center" vertical="distributed"/>
    </xf>
    <xf numFmtId="0" fontId="25" fillId="0" borderId="0" xfId="0" applyFont="1" applyBorder="1" applyAlignment="1">
      <alignment horizontal="center" vertical="distributed"/>
    </xf>
    <xf numFmtId="0" fontId="11" fillId="0" borderId="5" xfId="0" applyFont="1" applyBorder="1" applyAlignment="1">
      <alignment horizontal="center" vertical="distributed"/>
    </xf>
    <xf numFmtId="165" fontId="30" fillId="3" borderId="4" xfId="10" applyFont="1" applyFill="1" applyBorder="1" applyAlignment="1">
      <alignment horizontal="right" vertical="center" wrapText="1"/>
    </xf>
    <xf numFmtId="165" fontId="30" fillId="3" borderId="7" xfId="10" applyFont="1" applyFill="1" applyBorder="1" applyAlignment="1">
      <alignment horizontal="right" vertical="center" wrapText="1"/>
    </xf>
    <xf numFmtId="165" fontId="30" fillId="3" borderId="8" xfId="10" applyFont="1" applyFill="1" applyBorder="1" applyAlignment="1">
      <alignment horizontal="right" vertical="center" wrapText="1"/>
    </xf>
    <xf numFmtId="0" fontId="25" fillId="0" borderId="0" xfId="0" applyFont="1" applyFill="1" applyAlignment="1">
      <alignment horizontal="center" vertical="distributed"/>
    </xf>
    <xf numFmtId="0" fontId="25" fillId="0" borderId="0" xfId="0" applyFont="1" applyFill="1" applyBorder="1" applyAlignment="1">
      <alignment horizontal="center" vertical="distributed"/>
    </xf>
    <xf numFmtId="0" fontId="31" fillId="0" borderId="5" xfId="0" applyFont="1" applyBorder="1" applyAlignment="1">
      <alignment horizontal="center"/>
    </xf>
    <xf numFmtId="0" fontId="12" fillId="0" borderId="0" xfId="0" applyFont="1" applyFill="1" applyAlignment="1">
      <alignment horizontal="center" vertical="distributed"/>
    </xf>
    <xf numFmtId="0" fontId="11" fillId="0" borderId="0" xfId="0" applyFont="1" applyAlignment="1">
      <alignment horizontal="justify" vertical="distributed"/>
    </xf>
    <xf numFmtId="0" fontId="5" fillId="0" borderId="24" xfId="0" applyFont="1" applyBorder="1" applyAlignment="1">
      <alignment horizontal="center" wrapText="1"/>
    </xf>
    <xf numFmtId="0" fontId="5" fillId="0" borderId="0" xfId="0" applyFont="1" applyAlignment="1">
      <alignment horizont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164" fontId="11" fillId="4" borderId="2" xfId="2" applyFont="1" applyFill="1" applyBorder="1" applyAlignment="1">
      <alignment horizontal="center" vertical="center" wrapText="1"/>
    </xf>
    <xf numFmtId="0" fontId="19" fillId="0" borderId="2" xfId="0" applyFont="1" applyBorder="1" applyAlignment="1">
      <alignment horizontal="lef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3" fillId="0" borderId="3" xfId="0" applyFont="1" applyFill="1" applyBorder="1" applyAlignment="1">
      <alignment horizontal="center" vertical="center" wrapText="1"/>
    </xf>
    <xf numFmtId="0" fontId="25" fillId="0" borderId="2" xfId="0" applyFont="1" applyBorder="1" applyAlignment="1">
      <alignment horizont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30" fillId="0" borderId="19" xfId="0" applyFont="1" applyBorder="1" applyAlignment="1">
      <alignment horizontal="center" vertical="center"/>
    </xf>
    <xf numFmtId="0" fontId="16" fillId="3" borderId="4" xfId="0" applyFont="1" applyFill="1" applyBorder="1" applyAlignment="1">
      <alignment horizontal="center" vertical="center"/>
    </xf>
    <xf numFmtId="0" fontId="16" fillId="3" borderId="8" xfId="0" applyFont="1" applyFill="1" applyBorder="1" applyAlignment="1">
      <alignment horizontal="center" vertical="center"/>
    </xf>
    <xf numFmtId="165" fontId="14" fillId="0" borderId="2" xfId="10" applyFont="1" applyBorder="1" applyAlignment="1">
      <alignment horizontal="left" vertical="center" wrapText="1"/>
    </xf>
    <xf numFmtId="0" fontId="14" fillId="0" borderId="2" xfId="10" applyNumberFormat="1" applyFont="1" applyBorder="1" applyAlignment="1">
      <alignment horizontal="left" vertical="center" wrapText="1"/>
    </xf>
    <xf numFmtId="165" fontId="16" fillId="4" borderId="2" xfId="10" applyFont="1" applyFill="1" applyBorder="1" applyAlignment="1">
      <alignment horizontal="left" vertical="center" wrapText="1"/>
    </xf>
    <xf numFmtId="1" fontId="17" fillId="0" borderId="4" xfId="10" applyNumberFormat="1" applyFont="1" applyFill="1" applyBorder="1" applyAlignment="1">
      <alignment horizontal="left" vertical="center" wrapText="1"/>
    </xf>
    <xf numFmtId="1" fontId="17" fillId="0" borderId="7" xfId="10" applyNumberFormat="1" applyFont="1" applyFill="1" applyBorder="1" applyAlignment="1">
      <alignment horizontal="left" vertical="center" wrapText="1"/>
    </xf>
    <xf numFmtId="1" fontId="17" fillId="0" borderId="8" xfId="10" applyNumberFormat="1" applyFont="1" applyFill="1" applyBorder="1" applyAlignment="1">
      <alignment horizontal="left" vertical="center" wrapText="1"/>
    </xf>
    <xf numFmtId="165" fontId="14" fillId="0" borderId="4" xfId="10" applyFont="1" applyBorder="1" applyAlignment="1">
      <alignment horizontal="center"/>
    </xf>
    <xf numFmtId="165" fontId="14" fillId="0" borderId="7" xfId="10" applyFont="1" applyBorder="1" applyAlignment="1">
      <alignment horizontal="center"/>
    </xf>
    <xf numFmtId="165" fontId="14" fillId="0" borderId="8" xfId="10" applyFont="1" applyBorder="1" applyAlignment="1">
      <alignment horizontal="center"/>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5" fillId="3" borderId="2" xfId="0" applyFont="1" applyFill="1" applyBorder="1" applyAlignment="1">
      <alignment horizontal="center" vertical="center" wrapText="1"/>
    </xf>
    <xf numFmtId="0" fontId="8" fillId="0" borderId="2" xfId="0" applyFont="1" applyBorder="1" applyAlignment="1">
      <alignment horizontal="center" vertical="center"/>
    </xf>
    <xf numFmtId="0" fontId="19" fillId="0" borderId="2" xfId="0" applyFont="1" applyBorder="1" applyAlignment="1">
      <alignment horizontal="center" vertical="center" wrapText="1"/>
    </xf>
    <xf numFmtId="0" fontId="10" fillId="0" borderId="2" xfId="0" applyFont="1" applyBorder="1" applyAlignment="1">
      <alignment vertical="center" wrapText="1"/>
    </xf>
    <xf numFmtId="0" fontId="10" fillId="0" borderId="4" xfId="0" applyFont="1" applyBorder="1" applyAlignment="1">
      <alignment horizontal="right" vertical="center"/>
    </xf>
    <xf numFmtId="0" fontId="10" fillId="0" borderId="7" xfId="0" applyFont="1" applyBorder="1" applyAlignment="1">
      <alignment horizontal="right" vertical="center"/>
    </xf>
    <xf numFmtId="49" fontId="10" fillId="0" borderId="7" xfId="0" applyNumberFormat="1" applyFont="1" applyBorder="1" applyAlignment="1">
      <alignment horizontal="left" vertical="center"/>
    </xf>
    <xf numFmtId="0" fontId="10" fillId="0" borderId="8" xfId="0" applyFont="1" applyBorder="1" applyAlignment="1">
      <alignment horizontal="left" vertical="center"/>
    </xf>
    <xf numFmtId="0" fontId="16" fillId="6" borderId="4"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24" fillId="0" borderId="0" xfId="0" applyFont="1" applyBorder="1" applyAlignment="1">
      <alignment horizontal="center" vertical="center"/>
    </xf>
    <xf numFmtId="0" fontId="24" fillId="0" borderId="5" xfId="0" applyFont="1" applyBorder="1" applyAlignment="1">
      <alignment horizontal="center" vertical="center"/>
    </xf>
    <xf numFmtId="3" fontId="26" fillId="0" borderId="5" xfId="0" applyNumberFormat="1" applyFont="1" applyBorder="1" applyAlignment="1">
      <alignment horizontal="center" vertical="center"/>
    </xf>
    <xf numFmtId="0" fontId="26" fillId="0" borderId="5" xfId="0" applyFont="1" applyBorder="1" applyAlignment="1">
      <alignment horizontal="center" vertical="center"/>
    </xf>
    <xf numFmtId="0" fontId="15" fillId="0" borderId="2" xfId="0" applyFont="1" applyFill="1" applyBorder="1" applyAlignment="1">
      <alignment horizontal="center" vertical="center" wrapText="1"/>
    </xf>
    <xf numFmtId="165" fontId="14" fillId="0" borderId="2" xfId="10" applyFont="1" applyFill="1" applyBorder="1" applyAlignment="1">
      <alignment horizontal="left" vertical="center" wrapText="1"/>
    </xf>
    <xf numFmtId="0" fontId="10" fillId="0" borderId="2" xfId="0" applyFont="1" applyBorder="1" applyAlignment="1">
      <alignment vertical="center"/>
    </xf>
    <xf numFmtId="165" fontId="14" fillId="0" borderId="4" xfId="10" applyFont="1" applyBorder="1" applyAlignment="1">
      <alignment horizontal="left" vertical="center" wrapText="1"/>
    </xf>
    <xf numFmtId="165" fontId="14" fillId="0" borderId="7" xfId="10" applyFont="1" applyBorder="1" applyAlignment="1">
      <alignment horizontal="left" vertical="center" wrapText="1"/>
    </xf>
    <xf numFmtId="165" fontId="14" fillId="0" borderId="8" xfId="10" applyFont="1" applyBorder="1" applyAlignment="1">
      <alignment horizontal="left" vertical="center" wrapText="1"/>
    </xf>
    <xf numFmtId="0" fontId="9" fillId="0" borderId="2" xfId="0" applyFont="1" applyFill="1" applyBorder="1" applyAlignment="1">
      <alignment horizontal="center" vertical="center" wrapText="1"/>
    </xf>
    <xf numFmtId="0" fontId="17" fillId="0" borderId="4" xfId="10" applyNumberFormat="1" applyFont="1" applyFill="1" applyBorder="1" applyAlignment="1">
      <alignment horizontal="center" vertical="center" wrapText="1"/>
    </xf>
    <xf numFmtId="0" fontId="17" fillId="0" borderId="7" xfId="10" applyNumberFormat="1" applyFont="1" applyFill="1" applyBorder="1" applyAlignment="1">
      <alignment horizontal="center" vertical="center" wrapText="1"/>
    </xf>
    <xf numFmtId="0" fontId="17" fillId="0" borderId="8" xfId="10" applyNumberFormat="1" applyFont="1" applyFill="1" applyBorder="1" applyAlignment="1">
      <alignment horizontal="center" vertical="center" wrapText="1"/>
    </xf>
    <xf numFmtId="0" fontId="14" fillId="0" borderId="2" xfId="10" applyNumberFormat="1" applyFont="1" applyFill="1" applyBorder="1" applyAlignment="1">
      <alignment horizontal="left" vertical="center" wrapText="1"/>
    </xf>
    <xf numFmtId="1" fontId="14" fillId="0" borderId="4" xfId="10" applyNumberFormat="1" applyFont="1" applyFill="1" applyBorder="1" applyAlignment="1">
      <alignment horizontal="left" vertical="center" wrapText="1"/>
    </xf>
    <xf numFmtId="1" fontId="14" fillId="0" borderId="7" xfId="10" applyNumberFormat="1" applyFont="1" applyFill="1" applyBorder="1" applyAlignment="1">
      <alignment horizontal="left" vertical="center" wrapText="1"/>
    </xf>
    <xf numFmtId="1" fontId="14" fillId="0" borderId="8" xfId="10" applyNumberFormat="1" applyFont="1" applyFill="1" applyBorder="1" applyAlignment="1">
      <alignment horizontal="left" vertical="center" wrapText="1"/>
    </xf>
    <xf numFmtId="165" fontId="16" fillId="6" borderId="4" xfId="10" applyFont="1" applyFill="1" applyBorder="1" applyAlignment="1">
      <alignment horizontal="left" vertical="center" wrapText="1"/>
    </xf>
    <xf numFmtId="165" fontId="16" fillId="6" borderId="7" xfId="10" applyFont="1" applyFill="1" applyBorder="1" applyAlignment="1">
      <alignment horizontal="left" vertical="center" wrapText="1"/>
    </xf>
    <xf numFmtId="165" fontId="16" fillId="6" borderId="8" xfId="10" applyFont="1" applyFill="1" applyBorder="1" applyAlignment="1">
      <alignment horizontal="left" vertical="center" wrapText="1"/>
    </xf>
    <xf numFmtId="1" fontId="13" fillId="0" borderId="4" xfId="10" applyNumberFormat="1" applyFont="1" applyFill="1" applyBorder="1" applyAlignment="1">
      <alignment horizontal="left" vertical="center" wrapText="1"/>
    </xf>
    <xf numFmtId="1" fontId="13" fillId="0" borderId="7" xfId="10" applyNumberFormat="1" applyFont="1" applyFill="1" applyBorder="1" applyAlignment="1">
      <alignment horizontal="left" vertical="center" wrapText="1"/>
    </xf>
    <xf numFmtId="1" fontId="13" fillId="0" borderId="8" xfId="10" applyNumberFormat="1" applyFont="1" applyFill="1" applyBorder="1" applyAlignment="1">
      <alignment horizontal="left" vertical="center" wrapText="1"/>
    </xf>
    <xf numFmtId="165" fontId="16" fillId="6" borderId="2" xfId="10" applyFont="1" applyFill="1" applyBorder="1" applyAlignment="1">
      <alignment horizontal="left" vertical="center" wrapText="1"/>
    </xf>
    <xf numFmtId="173" fontId="14" fillId="0" borderId="4" xfId="10" applyNumberFormat="1" applyFont="1" applyBorder="1" applyAlignment="1">
      <alignment horizontal="left" vertical="center" wrapText="1"/>
    </xf>
    <xf numFmtId="173" fontId="14" fillId="0" borderId="7" xfId="10" applyNumberFormat="1" applyFont="1" applyBorder="1" applyAlignment="1">
      <alignment horizontal="left" vertical="center" wrapText="1"/>
    </xf>
    <xf numFmtId="173" fontId="14" fillId="0" borderId="8" xfId="10" applyNumberFormat="1" applyFont="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23" fillId="0" borderId="4"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0" fillId="0" borderId="7" xfId="0" applyFont="1" applyBorder="1" applyAlignment="1">
      <alignment horizontal="right" vertical="center" wrapText="1"/>
    </xf>
    <xf numFmtId="49" fontId="10" fillId="0" borderId="7" xfId="0" applyNumberFormat="1" applyFont="1" applyBorder="1" applyAlignment="1">
      <alignment horizontal="left" vertical="center" wrapText="1"/>
    </xf>
    <xf numFmtId="0" fontId="13" fillId="0" borderId="7" xfId="0" applyFont="1" applyBorder="1" applyAlignment="1">
      <alignment horizontal="center" vertical="center" wrapText="1"/>
    </xf>
    <xf numFmtId="0" fontId="24" fillId="0" borderId="6" xfId="0" applyFont="1" applyBorder="1" applyAlignment="1">
      <alignment horizontal="center" vertical="center"/>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8" xfId="0" applyFont="1" applyBorder="1" applyAlignment="1">
      <alignment horizontal="center" vertical="center" wrapText="1"/>
    </xf>
    <xf numFmtId="169" fontId="2" fillId="0" borderId="4" xfId="1" applyNumberFormat="1" applyFill="1" applyBorder="1" applyAlignment="1" applyProtection="1">
      <alignment horizontal="center" wrapText="1"/>
    </xf>
    <xf numFmtId="169" fontId="34" fillId="0" borderId="8" xfId="2" applyNumberFormat="1" applyFont="1" applyFill="1" applyBorder="1" applyAlignment="1">
      <alignment horizontal="center" wrapText="1"/>
    </xf>
    <xf numFmtId="169" fontId="34" fillId="0" borderId="4" xfId="2" applyNumberFormat="1" applyFont="1" applyFill="1" applyBorder="1" applyAlignment="1">
      <alignment horizontal="center" vertical="center" wrapText="1"/>
    </xf>
    <xf numFmtId="169" fontId="34" fillId="0" borderId="8" xfId="2" applyNumberFormat="1"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27" xfId="0" applyFont="1" applyFill="1" applyBorder="1" applyAlignment="1">
      <alignment horizontal="center" vertical="center"/>
    </xf>
    <xf numFmtId="0" fontId="10" fillId="2" borderId="16" xfId="0" applyFont="1" applyFill="1" applyBorder="1" applyAlignment="1">
      <alignment vertical="center" wrapText="1"/>
    </xf>
    <xf numFmtId="0" fontId="10" fillId="2" borderId="0" xfId="0" applyFont="1" applyFill="1" applyBorder="1" applyAlignment="1">
      <alignment vertical="center" wrapText="1"/>
    </xf>
    <xf numFmtId="0" fontId="10" fillId="2" borderId="10" xfId="0" applyFont="1" applyFill="1" applyBorder="1" applyAlignment="1">
      <alignment vertical="center" wrapText="1"/>
    </xf>
    <xf numFmtId="49" fontId="18" fillId="0" borderId="7" xfId="0" applyNumberFormat="1" applyFont="1" applyFill="1" applyBorder="1" applyAlignment="1">
      <alignment horizontal="center" vertical="center" wrapText="1"/>
    </xf>
    <xf numFmtId="49" fontId="18" fillId="0" borderId="22"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1" fillId="2" borderId="2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167" fontId="10" fillId="2" borderId="7" xfId="0" applyNumberFormat="1" applyFont="1" applyFill="1" applyBorder="1" applyAlignment="1">
      <alignment horizontal="center" vertical="center" wrapText="1"/>
    </xf>
    <xf numFmtId="167" fontId="10" fillId="2" borderId="8" xfId="0" applyNumberFormat="1" applyFont="1" applyFill="1" applyBorder="1" applyAlignment="1">
      <alignment horizontal="center" vertical="center" wrapText="1"/>
    </xf>
    <xf numFmtId="0" fontId="26" fillId="0" borderId="6" xfId="0" applyFont="1" applyBorder="1" applyAlignment="1">
      <alignment horizontal="center" vertical="center"/>
    </xf>
    <xf numFmtId="0" fontId="16" fillId="5" borderId="9"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14" fillId="0" borderId="14" xfId="5" applyFont="1" applyBorder="1" applyAlignment="1">
      <alignment horizontal="justify" vertical="center" wrapText="1"/>
    </xf>
    <xf numFmtId="0" fontId="14" fillId="0" borderId="6" xfId="5" applyFont="1" applyBorder="1" applyAlignment="1">
      <alignment horizontal="justify" vertical="center" wrapText="1"/>
    </xf>
    <xf numFmtId="0" fontId="14" fillId="0" borderId="15" xfId="5" applyFont="1" applyBorder="1" applyAlignment="1">
      <alignment horizontal="justify" vertical="center" wrapText="1"/>
    </xf>
    <xf numFmtId="0" fontId="14" fillId="0" borderId="16" xfId="5" applyFont="1" applyBorder="1" applyAlignment="1">
      <alignment horizontal="justify" vertical="center" wrapText="1"/>
    </xf>
    <xf numFmtId="0" fontId="14" fillId="0" borderId="0" xfId="5" applyFont="1" applyBorder="1" applyAlignment="1">
      <alignment horizontal="justify" vertical="center" wrapText="1"/>
    </xf>
    <xf numFmtId="0" fontId="14" fillId="0" borderId="10" xfId="5" applyFont="1" applyBorder="1" applyAlignment="1">
      <alignment horizontal="justify" vertical="center" wrapText="1"/>
    </xf>
    <xf numFmtId="0" fontId="14" fillId="0" borderId="16" xfId="5" applyFont="1" applyBorder="1" applyAlignment="1">
      <alignment horizontal="justify" wrapText="1"/>
    </xf>
    <xf numFmtId="0" fontId="14" fillId="0" borderId="0" xfId="5" applyFont="1" applyBorder="1" applyAlignment="1">
      <alignment horizontal="justify" wrapText="1"/>
    </xf>
    <xf numFmtId="0" fontId="14" fillId="0" borderId="10" xfId="5" applyFont="1" applyBorder="1" applyAlignment="1">
      <alignment horizontal="justify" wrapText="1"/>
    </xf>
    <xf numFmtId="4" fontId="23" fillId="5" borderId="9" xfId="3" applyFont="1" applyFill="1" applyBorder="1" applyAlignment="1">
      <alignment horizontal="center" vertical="center" wrapText="1"/>
    </xf>
    <xf numFmtId="4" fontId="23" fillId="5" borderId="2" xfId="3" applyFont="1" applyFill="1" applyBorder="1" applyAlignment="1">
      <alignment horizontal="center" vertical="center" wrapText="1"/>
    </xf>
    <xf numFmtId="4" fontId="23" fillId="5" borderId="12" xfId="3" applyFont="1" applyFill="1" applyBorder="1" applyAlignment="1">
      <alignment horizontal="center" vertical="center" wrapText="1"/>
    </xf>
    <xf numFmtId="4" fontId="23" fillId="0" borderId="9" xfId="3" applyFont="1" applyBorder="1" applyAlignment="1">
      <alignment horizontal="center" vertical="center"/>
    </xf>
    <xf numFmtId="4" fontId="23" fillId="0" borderId="30" xfId="3" applyFont="1" applyBorder="1" applyAlignment="1">
      <alignment horizontal="center" vertical="center"/>
    </xf>
    <xf numFmtId="4" fontId="20" fillId="0" borderId="2" xfId="3" applyFont="1" applyBorder="1" applyAlignment="1">
      <alignment horizontal="center"/>
    </xf>
    <xf numFmtId="4" fontId="20" fillId="0" borderId="12" xfId="3" applyFont="1" applyBorder="1" applyAlignment="1">
      <alignment horizontal="center"/>
    </xf>
    <xf numFmtId="4" fontId="14" fillId="0" borderId="19" xfId="3" applyFont="1" applyBorder="1" applyAlignment="1">
      <alignment horizontal="center" vertical="top"/>
    </xf>
    <xf numFmtId="4" fontId="14" fillId="0" borderId="31" xfId="3" applyFont="1" applyBorder="1" applyAlignment="1">
      <alignment horizontal="center" vertical="top"/>
    </xf>
    <xf numFmtId="4" fontId="11" fillId="0" borderId="2" xfId="3" applyFont="1" applyBorder="1" applyAlignment="1">
      <alignment horizontal="center" vertical="center"/>
    </xf>
    <xf numFmtId="10" fontId="23" fillId="4" borderId="12" xfId="9" applyNumberFormat="1" applyFont="1" applyFill="1" applyBorder="1" applyAlignment="1">
      <alignment horizontal="center" vertical="center"/>
    </xf>
    <xf numFmtId="0" fontId="12" fillId="0" borderId="2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2" xfId="0" applyFont="1" applyBorder="1" applyAlignment="1">
      <alignment horizontal="center" vertical="center" wrapText="1"/>
    </xf>
    <xf numFmtId="0" fontId="38" fillId="0" borderId="28" xfId="0" applyFont="1" applyBorder="1" applyAlignment="1">
      <alignment horizontal="center" vertical="center"/>
    </xf>
    <xf numFmtId="0" fontId="38" fillId="0" borderId="7" xfId="0" applyFont="1" applyBorder="1" applyAlignment="1">
      <alignment horizontal="center" vertical="center"/>
    </xf>
    <xf numFmtId="0" fontId="38" fillId="0" borderId="22" xfId="0" applyFont="1" applyBorder="1" applyAlignment="1">
      <alignment horizontal="center" vertical="center"/>
    </xf>
    <xf numFmtId="0" fontId="38" fillId="0" borderId="32"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34" xfId="0" applyFont="1" applyBorder="1" applyAlignment="1">
      <alignment horizontal="center" vertical="center" wrapText="1"/>
    </xf>
    <xf numFmtId="0" fontId="30" fillId="0" borderId="28" xfId="0" applyFont="1" applyBorder="1" applyAlignment="1">
      <alignment horizontal="center" vertical="center"/>
    </xf>
    <xf numFmtId="0" fontId="30" fillId="0" borderId="7" xfId="0" applyFont="1" applyBorder="1" applyAlignment="1">
      <alignment horizontal="center" vertical="center"/>
    </xf>
    <xf numFmtId="0" fontId="30" fillId="0" borderId="22" xfId="0" applyFont="1" applyBorder="1" applyAlignment="1">
      <alignment horizontal="center" vertical="center"/>
    </xf>
    <xf numFmtId="0" fontId="23" fillId="0" borderId="9" xfId="0" applyFont="1" applyBorder="1" applyAlignment="1">
      <alignment horizontal="left" vertical="center" wrapText="1"/>
    </xf>
    <xf numFmtId="0" fontId="23" fillId="0" borderId="2" xfId="0" applyFont="1" applyBorder="1" applyAlignment="1">
      <alignment horizontal="left" vertical="center" wrapText="1"/>
    </xf>
    <xf numFmtId="0" fontId="23" fillId="0" borderId="12" xfId="0" applyFont="1" applyBorder="1" applyAlignment="1">
      <alignment horizontal="left" vertical="center" wrapText="1"/>
    </xf>
    <xf numFmtId="0" fontId="18" fillId="0" borderId="5" xfId="0" applyFont="1" applyBorder="1" applyAlignment="1">
      <alignment horizontal="center" vertical="center"/>
    </xf>
    <xf numFmtId="0" fontId="18" fillId="0" borderId="0" xfId="0" applyFont="1" applyBorder="1" applyAlignment="1">
      <alignment horizontal="center" vertical="center"/>
    </xf>
    <xf numFmtId="4" fontId="10" fillId="5" borderId="2" xfId="3" applyFont="1" applyFill="1" applyBorder="1" applyAlignment="1">
      <alignment horizontal="center" vertical="center" wrapText="1"/>
    </xf>
    <xf numFmtId="4" fontId="16" fillId="0" borderId="2" xfId="3" applyFont="1" applyBorder="1" applyAlignment="1">
      <alignment horizontal="center" vertical="center"/>
    </xf>
    <xf numFmtId="4" fontId="16" fillId="0" borderId="19" xfId="3" applyFont="1" applyBorder="1" applyAlignment="1">
      <alignment horizontal="center" vertical="center"/>
    </xf>
    <xf numFmtId="4" fontId="14" fillId="0" borderId="2" xfId="3" applyFont="1" applyBorder="1" applyAlignment="1">
      <alignment horizontal="center" vertical="center"/>
    </xf>
    <xf numFmtId="10" fontId="16" fillId="4" borderId="2" xfId="9" applyNumberFormat="1" applyFont="1" applyFill="1" applyBorder="1" applyAlignment="1">
      <alignment horizontal="center" vertical="center"/>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38" fillId="0" borderId="4" xfId="0" applyFont="1" applyBorder="1" applyAlignment="1">
      <alignment horizontal="center" vertical="center"/>
    </xf>
    <xf numFmtId="0" fontId="38" fillId="0" borderId="8"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0" fillId="0" borderId="2" xfId="0" applyFont="1" applyBorder="1" applyAlignment="1">
      <alignment horizontal="center" vertical="center" wrapText="1"/>
    </xf>
  </cellXfs>
  <cellStyles count="13">
    <cellStyle name="Hiperlink" xfId="1" builtinId="8"/>
    <cellStyle name="Moeda" xfId="2" builtinId="4"/>
    <cellStyle name="Normal" xfId="0" builtinId="0"/>
    <cellStyle name="Normal 10" xfId="3"/>
    <cellStyle name="Normal 10 4" xfId="4"/>
    <cellStyle name="Normal 2 3" xfId="5"/>
    <cellStyle name="Normal 3 6" xfId="6"/>
    <cellStyle name="Normal 3 7" xfId="7"/>
    <cellStyle name="Porcentagem" xfId="8" builtinId="5"/>
    <cellStyle name="Porcentagem 2" xfId="9"/>
    <cellStyle name="Vírgula" xfId="10" builtinId="3"/>
    <cellStyle name="Vírgula 11 9" xfId="11"/>
    <cellStyle name="Vírgula 2 3 15" xfId="12"/>
  </cellStyles>
  <dxfs count="8">
    <dxf>
      <font>
        <condense val="0"/>
        <extend val="0"/>
        <color auto="1"/>
      </font>
      <fill>
        <patternFill>
          <bgColor indexed="10"/>
        </patternFill>
      </fill>
    </dxf>
    <dxf>
      <font>
        <b/>
        <i val="0"/>
        <condense val="0"/>
        <extend val="0"/>
        <color indexed="10"/>
      </font>
    </dxf>
    <dxf>
      <font>
        <condense val="0"/>
        <extend val="0"/>
        <color indexed="9"/>
      </font>
    </dxf>
    <dxf>
      <font>
        <condense val="0"/>
        <extend val="0"/>
        <color indexed="9"/>
      </font>
    </dxf>
    <dxf>
      <font>
        <condense val="0"/>
        <extend val="0"/>
        <color auto="1"/>
      </font>
      <fill>
        <patternFill>
          <bgColor indexed="10"/>
        </patternFill>
      </fill>
    </dxf>
    <dxf>
      <font>
        <b/>
        <i val="0"/>
        <condense val="0"/>
        <extend val="0"/>
        <color indexed="10"/>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0</xdr:row>
      <xdr:rowOff>85725</xdr:rowOff>
    </xdr:from>
    <xdr:to>
      <xdr:col>3</xdr:col>
      <xdr:colOff>1362075</xdr:colOff>
      <xdr:row>0</xdr:row>
      <xdr:rowOff>723900</xdr:rowOff>
    </xdr:to>
    <xdr:pic>
      <xdr:nvPicPr>
        <xdr:cNvPr id="25792" name="Imagem 36" descr="logo-PMJM-2020.JPG"/>
        <xdr:cNvPicPr>
          <a:picLocks noChangeAspect="1"/>
        </xdr:cNvPicPr>
      </xdr:nvPicPr>
      <xdr:blipFill>
        <a:blip xmlns:r="http://schemas.openxmlformats.org/officeDocument/2006/relationships" r:embed="rId1" cstate="print"/>
        <a:srcRect/>
        <a:stretch>
          <a:fillRect/>
        </a:stretch>
      </xdr:blipFill>
      <xdr:spPr bwMode="auto">
        <a:xfrm>
          <a:off x="1314450" y="85725"/>
          <a:ext cx="1695450" cy="638175"/>
        </a:xfrm>
        <a:prstGeom prst="rect">
          <a:avLst/>
        </a:prstGeom>
        <a:noFill/>
        <a:ln w="9525">
          <a:noFill/>
          <a:miter lim="800000"/>
          <a:headEnd/>
          <a:tailEnd/>
        </a:ln>
      </xdr:spPr>
    </xdr:pic>
    <xdr:clientData/>
  </xdr:twoCellAnchor>
  <xdr:twoCellAnchor>
    <xdr:from>
      <xdr:col>3</xdr:col>
      <xdr:colOff>2019300</xdr:colOff>
      <xdr:row>0</xdr:row>
      <xdr:rowOff>85725</xdr:rowOff>
    </xdr:from>
    <xdr:to>
      <xdr:col>8</xdr:col>
      <xdr:colOff>38100</xdr:colOff>
      <xdr:row>0</xdr:row>
      <xdr:rowOff>723900</xdr:rowOff>
    </xdr:to>
    <xdr:sp macro="" textlink="">
      <xdr:nvSpPr>
        <xdr:cNvPr id="4" name="Text Box 6"/>
        <xdr:cNvSpPr txBox="1">
          <a:spLocks noChangeArrowheads="1"/>
        </xdr:cNvSpPr>
      </xdr:nvSpPr>
      <xdr:spPr bwMode="auto">
        <a:xfrm>
          <a:off x="3619500" y="85725"/>
          <a:ext cx="4829175" cy="638175"/>
        </a:xfrm>
        <a:prstGeom prst="rect">
          <a:avLst/>
        </a:prstGeom>
        <a:noFill/>
        <a:ln>
          <a:noFill/>
        </a:ln>
        <a:extLst/>
      </xdr:spPr>
      <xdr:txBody>
        <a:bodyPr vertOverflow="clip" wrap="square" lIns="27432" tIns="22860" rIns="0" bIns="0" anchor="t"/>
        <a:lstStyle/>
        <a:p>
          <a:pPr algn="l" rtl="1"/>
          <a:r>
            <a:rPr lang="pt-BR" sz="1400" b="0" i="0">
              <a:latin typeface="+mn-lt"/>
              <a:ea typeface="+mn-ea"/>
              <a:cs typeface="+mn-cs"/>
            </a:rPr>
            <a:t>PREFEITURA MUNICIPAL DE JOÃO MONLEVADE</a:t>
          </a:r>
          <a:endParaRPr lang="pt-BR" sz="1400"/>
        </a:p>
        <a:p>
          <a:pPr algn="l" rtl="1"/>
          <a:r>
            <a:rPr lang="pt-BR" sz="1200" b="0" i="0">
              <a:latin typeface="+mn-lt"/>
              <a:ea typeface="+mn-ea"/>
              <a:cs typeface="+mn-cs"/>
            </a:rPr>
            <a:t>SECRETARIA</a:t>
          </a:r>
          <a:r>
            <a:rPr lang="pt-BR" sz="1200" b="0" i="0" baseline="0">
              <a:latin typeface="+mn-lt"/>
              <a:ea typeface="+mn-ea"/>
              <a:cs typeface="+mn-cs"/>
            </a:rPr>
            <a:t> MUNICIPAL DE OBRAS</a:t>
          </a:r>
          <a:endParaRPr lang="pt-BR" sz="1200"/>
        </a:p>
        <a:p>
          <a:pPr algn="l" rtl="1"/>
          <a:r>
            <a:rPr lang="pt-BR" sz="1100" b="0" i="0">
              <a:latin typeface="+mn-lt"/>
              <a:ea typeface="+mn-ea"/>
              <a:cs typeface="+mn-cs"/>
            </a:rPr>
            <a:t>Setor de Engenharia</a:t>
          </a:r>
          <a:endParaRPr lang="pt-BR" sz="900"/>
        </a:p>
        <a:p>
          <a:pPr algn="l" rtl="0">
            <a:defRPr sz="1000"/>
          </a:pPr>
          <a:endParaRPr lang="pt-BR" sz="9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866775</xdr:colOff>
      <xdr:row>0</xdr:row>
      <xdr:rowOff>85725</xdr:rowOff>
    </xdr:from>
    <xdr:to>
      <xdr:col>10</xdr:col>
      <xdr:colOff>581025</xdr:colOff>
      <xdr:row>0</xdr:row>
      <xdr:rowOff>752475</xdr:rowOff>
    </xdr:to>
    <xdr:sp macro="" textlink="">
      <xdr:nvSpPr>
        <xdr:cNvPr id="3" name="Text Box 6"/>
        <xdr:cNvSpPr txBox="1">
          <a:spLocks noChangeArrowheads="1"/>
        </xdr:cNvSpPr>
      </xdr:nvSpPr>
      <xdr:spPr bwMode="auto">
        <a:xfrm>
          <a:off x="2486025" y="85725"/>
          <a:ext cx="4076700" cy="666750"/>
        </a:xfrm>
        <a:prstGeom prst="rect">
          <a:avLst/>
        </a:prstGeom>
        <a:noFill/>
        <a:ln>
          <a:noFill/>
        </a:ln>
        <a:extLst/>
      </xdr:spPr>
      <xdr:txBody>
        <a:bodyPr vertOverflow="clip" wrap="square" lIns="27432" tIns="22860" rIns="0" bIns="0" anchor="t"/>
        <a:lstStyle/>
        <a:p>
          <a:pPr algn="l" rtl="1"/>
          <a:r>
            <a:rPr lang="pt-BR" sz="1400" b="0" i="0">
              <a:latin typeface="+mn-lt"/>
              <a:ea typeface="+mn-ea"/>
              <a:cs typeface="+mn-cs"/>
            </a:rPr>
            <a:t>PREFEITURA MUNICIPAL DE JOÃO MONLEVADE</a:t>
          </a:r>
          <a:endParaRPr lang="pt-BR" sz="1400"/>
        </a:p>
        <a:p>
          <a:pPr algn="l" rtl="1"/>
          <a:r>
            <a:rPr lang="pt-BR" sz="1200" b="0" i="0">
              <a:latin typeface="+mn-lt"/>
              <a:ea typeface="+mn-ea"/>
              <a:cs typeface="+mn-cs"/>
            </a:rPr>
            <a:t>SECRETARIA</a:t>
          </a:r>
          <a:r>
            <a:rPr lang="pt-BR" sz="1200" b="0" i="0" baseline="0">
              <a:latin typeface="+mn-lt"/>
              <a:ea typeface="+mn-ea"/>
              <a:cs typeface="+mn-cs"/>
            </a:rPr>
            <a:t> MUNICIPAL DE OBRAS</a:t>
          </a:r>
          <a:endParaRPr lang="pt-BR" sz="1200"/>
        </a:p>
        <a:p>
          <a:pPr algn="l" rtl="1"/>
          <a:r>
            <a:rPr lang="pt-BR" sz="1100" b="0" i="0">
              <a:latin typeface="+mn-lt"/>
              <a:ea typeface="+mn-ea"/>
              <a:cs typeface="+mn-cs"/>
            </a:rPr>
            <a:t>Setor de Engenharia</a:t>
          </a:r>
          <a:endParaRPr lang="pt-BR" sz="900"/>
        </a:p>
        <a:p>
          <a:pPr algn="l" rtl="0">
            <a:defRPr sz="1000"/>
          </a:pPr>
          <a:endParaRPr lang="pt-BR" sz="900" b="0" i="0" u="none" strike="noStrike" baseline="0">
            <a:solidFill>
              <a:srgbClr val="000000"/>
            </a:solidFill>
            <a:latin typeface="Arial"/>
            <a:cs typeface="Arial"/>
          </a:endParaRPr>
        </a:p>
      </xdr:txBody>
    </xdr:sp>
    <xdr:clientData/>
  </xdr:twoCellAnchor>
  <xdr:twoCellAnchor editAs="oneCell">
    <xdr:from>
      <xdr:col>1</xdr:col>
      <xdr:colOff>238125</xdr:colOff>
      <xdr:row>0</xdr:row>
      <xdr:rowOff>104775</xdr:rowOff>
    </xdr:from>
    <xdr:to>
      <xdr:col>3</xdr:col>
      <xdr:colOff>600075</xdr:colOff>
      <xdr:row>0</xdr:row>
      <xdr:rowOff>742950</xdr:rowOff>
    </xdr:to>
    <xdr:pic>
      <xdr:nvPicPr>
        <xdr:cNvPr id="24770" name="Imagem 36" descr="logo-PMJM-2020.JPG"/>
        <xdr:cNvPicPr>
          <a:picLocks noChangeAspect="1"/>
        </xdr:cNvPicPr>
      </xdr:nvPicPr>
      <xdr:blipFill>
        <a:blip xmlns:r="http://schemas.openxmlformats.org/officeDocument/2006/relationships" r:embed="rId1" cstate="print"/>
        <a:srcRect/>
        <a:stretch>
          <a:fillRect/>
        </a:stretch>
      </xdr:blipFill>
      <xdr:spPr bwMode="auto">
        <a:xfrm>
          <a:off x="561975" y="104775"/>
          <a:ext cx="1657350" cy="6381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1171575</xdr:colOff>
      <xdr:row>0</xdr:row>
      <xdr:rowOff>0</xdr:rowOff>
    </xdr:from>
    <xdr:to>
      <xdr:col>7</xdr:col>
      <xdr:colOff>533400</xdr:colOff>
      <xdr:row>1</xdr:row>
      <xdr:rowOff>19050</xdr:rowOff>
    </xdr:to>
    <xdr:sp macro="" textlink="">
      <xdr:nvSpPr>
        <xdr:cNvPr id="3" name="Text Box 6"/>
        <xdr:cNvSpPr txBox="1">
          <a:spLocks noChangeArrowheads="1"/>
        </xdr:cNvSpPr>
      </xdr:nvSpPr>
      <xdr:spPr bwMode="auto">
        <a:xfrm>
          <a:off x="2524125" y="0"/>
          <a:ext cx="4076700" cy="666750"/>
        </a:xfrm>
        <a:prstGeom prst="rect">
          <a:avLst/>
        </a:prstGeom>
        <a:noFill/>
        <a:ln>
          <a:noFill/>
        </a:ln>
        <a:extLst/>
      </xdr:spPr>
      <xdr:txBody>
        <a:bodyPr vertOverflow="clip" wrap="square" lIns="27432" tIns="22860" rIns="0" bIns="0" anchor="t"/>
        <a:lstStyle/>
        <a:p>
          <a:pPr algn="l" rtl="1"/>
          <a:r>
            <a:rPr lang="pt-BR" sz="1400" b="0" i="0">
              <a:latin typeface="+mn-lt"/>
              <a:ea typeface="+mn-ea"/>
              <a:cs typeface="+mn-cs"/>
            </a:rPr>
            <a:t>PREFEITURA MUNICIPAL DE JOÃO MONLEVADE</a:t>
          </a:r>
          <a:endParaRPr lang="pt-BR" sz="1400"/>
        </a:p>
        <a:p>
          <a:pPr algn="l" rtl="1"/>
          <a:r>
            <a:rPr lang="pt-BR" sz="1200" b="0" i="0">
              <a:latin typeface="+mn-lt"/>
              <a:ea typeface="+mn-ea"/>
              <a:cs typeface="+mn-cs"/>
            </a:rPr>
            <a:t>SECRETARIA</a:t>
          </a:r>
          <a:r>
            <a:rPr lang="pt-BR" sz="1200" b="0" i="0" baseline="0">
              <a:latin typeface="+mn-lt"/>
              <a:ea typeface="+mn-ea"/>
              <a:cs typeface="+mn-cs"/>
            </a:rPr>
            <a:t> MUNICIPAL DE OBRAS</a:t>
          </a:r>
          <a:endParaRPr lang="pt-BR" sz="1200"/>
        </a:p>
        <a:p>
          <a:pPr algn="l" rtl="1"/>
          <a:r>
            <a:rPr lang="pt-BR" sz="1100" b="0" i="0">
              <a:latin typeface="+mn-lt"/>
              <a:ea typeface="+mn-ea"/>
              <a:cs typeface="+mn-cs"/>
            </a:rPr>
            <a:t>Setor de Engenharia</a:t>
          </a:r>
          <a:endParaRPr lang="pt-BR" sz="900"/>
        </a:p>
        <a:p>
          <a:pPr algn="l" rtl="0">
            <a:defRPr sz="1000"/>
          </a:pPr>
          <a:endParaRPr lang="pt-BR" sz="900" b="0" i="0" u="none" strike="noStrike" baseline="0">
            <a:solidFill>
              <a:srgbClr val="000000"/>
            </a:solidFill>
            <a:latin typeface="Arial"/>
            <a:cs typeface="Arial"/>
          </a:endParaRPr>
        </a:p>
      </xdr:txBody>
    </xdr:sp>
    <xdr:clientData/>
  </xdr:twoCellAnchor>
  <xdr:twoCellAnchor editAs="oneCell">
    <xdr:from>
      <xdr:col>2</xdr:col>
      <xdr:colOff>209550</xdr:colOff>
      <xdr:row>0</xdr:row>
      <xdr:rowOff>28575</xdr:rowOff>
    </xdr:from>
    <xdr:to>
      <xdr:col>3</xdr:col>
      <xdr:colOff>942975</xdr:colOff>
      <xdr:row>0</xdr:row>
      <xdr:rowOff>600075</xdr:rowOff>
    </xdr:to>
    <xdr:pic>
      <xdr:nvPicPr>
        <xdr:cNvPr id="15350" name="Imagem 36" descr="logo-PMJM-2020.JPG"/>
        <xdr:cNvPicPr>
          <a:picLocks noChangeAspect="1"/>
        </xdr:cNvPicPr>
      </xdr:nvPicPr>
      <xdr:blipFill>
        <a:blip xmlns:r="http://schemas.openxmlformats.org/officeDocument/2006/relationships" r:embed="rId1" cstate="print"/>
        <a:srcRect/>
        <a:stretch>
          <a:fillRect/>
        </a:stretch>
      </xdr:blipFill>
      <xdr:spPr bwMode="auto">
        <a:xfrm>
          <a:off x="809625" y="28575"/>
          <a:ext cx="1485900" cy="5715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1685925</xdr:colOff>
      <xdr:row>0</xdr:row>
      <xdr:rowOff>57150</xdr:rowOff>
    </xdr:from>
    <xdr:to>
      <xdr:col>7</xdr:col>
      <xdr:colOff>790575</xdr:colOff>
      <xdr:row>2</xdr:row>
      <xdr:rowOff>9525</xdr:rowOff>
    </xdr:to>
    <xdr:sp macro="" textlink="">
      <xdr:nvSpPr>
        <xdr:cNvPr id="3" name="Text Box 6"/>
        <xdr:cNvSpPr txBox="1">
          <a:spLocks noChangeArrowheads="1"/>
        </xdr:cNvSpPr>
      </xdr:nvSpPr>
      <xdr:spPr bwMode="auto">
        <a:xfrm>
          <a:off x="2219325" y="57150"/>
          <a:ext cx="4076700" cy="666750"/>
        </a:xfrm>
        <a:prstGeom prst="rect">
          <a:avLst/>
        </a:prstGeom>
        <a:noFill/>
        <a:ln>
          <a:noFill/>
        </a:ln>
        <a:extLst/>
      </xdr:spPr>
      <xdr:txBody>
        <a:bodyPr vertOverflow="clip" wrap="square" lIns="27432" tIns="22860" rIns="0" bIns="0" anchor="t"/>
        <a:lstStyle/>
        <a:p>
          <a:pPr algn="l" rtl="1"/>
          <a:r>
            <a:rPr lang="pt-BR" sz="1400" b="0" i="0">
              <a:latin typeface="+mn-lt"/>
              <a:ea typeface="+mn-ea"/>
              <a:cs typeface="+mn-cs"/>
            </a:rPr>
            <a:t>PREFEITURA MUNICIPAL DE JOÃO MONLEVADE</a:t>
          </a:r>
          <a:endParaRPr lang="pt-BR" sz="1400"/>
        </a:p>
        <a:p>
          <a:pPr algn="l" rtl="1"/>
          <a:r>
            <a:rPr lang="pt-BR" sz="1200" b="0" i="0">
              <a:latin typeface="+mn-lt"/>
              <a:ea typeface="+mn-ea"/>
              <a:cs typeface="+mn-cs"/>
            </a:rPr>
            <a:t>SECRETARIA</a:t>
          </a:r>
          <a:r>
            <a:rPr lang="pt-BR" sz="1200" b="0" i="0" baseline="0">
              <a:latin typeface="+mn-lt"/>
              <a:ea typeface="+mn-ea"/>
              <a:cs typeface="+mn-cs"/>
            </a:rPr>
            <a:t> MUNICIPAL DE OBRAS</a:t>
          </a:r>
          <a:endParaRPr lang="pt-BR" sz="1200"/>
        </a:p>
        <a:p>
          <a:pPr algn="l" rtl="1"/>
          <a:r>
            <a:rPr lang="pt-BR" sz="1100" b="0" i="0">
              <a:latin typeface="+mn-lt"/>
              <a:ea typeface="+mn-ea"/>
              <a:cs typeface="+mn-cs"/>
            </a:rPr>
            <a:t>Setor de Engenharia</a:t>
          </a:r>
          <a:endParaRPr lang="pt-BR" sz="900"/>
        </a:p>
        <a:p>
          <a:pPr algn="l" rtl="0">
            <a:defRPr sz="1000"/>
          </a:pPr>
          <a:endParaRPr lang="pt-BR" sz="900" b="0" i="0" u="none" strike="noStrike" baseline="0">
            <a:solidFill>
              <a:srgbClr val="000000"/>
            </a:solidFill>
            <a:latin typeface="Arial"/>
            <a:cs typeface="Arial"/>
          </a:endParaRPr>
        </a:p>
      </xdr:txBody>
    </xdr:sp>
    <xdr:clientData/>
  </xdr:twoCellAnchor>
  <xdr:twoCellAnchor editAs="oneCell">
    <xdr:from>
      <xdr:col>2</xdr:col>
      <xdr:colOff>295275</xdr:colOff>
      <xdr:row>0</xdr:row>
      <xdr:rowOff>76200</xdr:rowOff>
    </xdr:from>
    <xdr:to>
      <xdr:col>3</xdr:col>
      <xdr:colOff>1419225</xdr:colOff>
      <xdr:row>1</xdr:row>
      <xdr:rowOff>0</xdr:rowOff>
    </xdr:to>
    <xdr:pic>
      <xdr:nvPicPr>
        <xdr:cNvPr id="26745" name="Imagem 36" descr="logo-PMJM-2020.JPG"/>
        <xdr:cNvPicPr>
          <a:picLocks noChangeAspect="1"/>
        </xdr:cNvPicPr>
      </xdr:nvPicPr>
      <xdr:blipFill>
        <a:blip xmlns:r="http://schemas.openxmlformats.org/officeDocument/2006/relationships" r:embed="rId1" cstate="print"/>
        <a:srcRect/>
        <a:stretch>
          <a:fillRect/>
        </a:stretch>
      </xdr:blipFill>
      <xdr:spPr bwMode="auto">
        <a:xfrm>
          <a:off x="295275" y="76200"/>
          <a:ext cx="1657350" cy="6381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742950</xdr:colOff>
      <xdr:row>0</xdr:row>
      <xdr:rowOff>57150</xdr:rowOff>
    </xdr:from>
    <xdr:to>
      <xdr:col>8</xdr:col>
      <xdr:colOff>600075</xdr:colOff>
      <xdr:row>1</xdr:row>
      <xdr:rowOff>19050</xdr:rowOff>
    </xdr:to>
    <xdr:sp macro="" textlink="">
      <xdr:nvSpPr>
        <xdr:cNvPr id="3" name="Text Box 6"/>
        <xdr:cNvSpPr txBox="1">
          <a:spLocks noChangeArrowheads="1"/>
        </xdr:cNvSpPr>
      </xdr:nvSpPr>
      <xdr:spPr bwMode="auto">
        <a:xfrm>
          <a:off x="3562350" y="57150"/>
          <a:ext cx="4076700" cy="638175"/>
        </a:xfrm>
        <a:prstGeom prst="rect">
          <a:avLst/>
        </a:prstGeom>
        <a:noFill/>
        <a:ln>
          <a:noFill/>
        </a:ln>
        <a:extLst/>
      </xdr:spPr>
      <xdr:txBody>
        <a:bodyPr vertOverflow="clip" wrap="square" lIns="27432" tIns="22860" rIns="0" bIns="0" anchor="t"/>
        <a:lstStyle/>
        <a:p>
          <a:pPr algn="l" rtl="1"/>
          <a:r>
            <a:rPr lang="pt-BR" sz="1400" b="0" i="0">
              <a:latin typeface="+mn-lt"/>
              <a:ea typeface="+mn-ea"/>
              <a:cs typeface="+mn-cs"/>
            </a:rPr>
            <a:t>PREFEITURA MUNICIPAL DE JOÃO MONLEVADE</a:t>
          </a:r>
          <a:endParaRPr lang="pt-BR" sz="1400"/>
        </a:p>
        <a:p>
          <a:pPr algn="l" rtl="1"/>
          <a:r>
            <a:rPr lang="pt-BR" sz="1200" b="0" i="0">
              <a:latin typeface="+mn-lt"/>
              <a:ea typeface="+mn-ea"/>
              <a:cs typeface="+mn-cs"/>
            </a:rPr>
            <a:t>SECRETARIA</a:t>
          </a:r>
          <a:r>
            <a:rPr lang="pt-BR" sz="1200" b="0" i="0" baseline="0">
              <a:latin typeface="+mn-lt"/>
              <a:ea typeface="+mn-ea"/>
              <a:cs typeface="+mn-cs"/>
            </a:rPr>
            <a:t> MUNICIPAL DE OBRAS</a:t>
          </a:r>
          <a:endParaRPr lang="pt-BR" sz="1200"/>
        </a:p>
        <a:p>
          <a:pPr algn="l" rtl="1"/>
          <a:r>
            <a:rPr lang="pt-BR" sz="1100" b="0" i="0">
              <a:latin typeface="+mn-lt"/>
              <a:ea typeface="+mn-ea"/>
              <a:cs typeface="+mn-cs"/>
            </a:rPr>
            <a:t>Setor de Engenharia</a:t>
          </a:r>
          <a:endParaRPr lang="pt-BR" sz="900"/>
        </a:p>
        <a:p>
          <a:pPr algn="l" rtl="0">
            <a:defRPr sz="1000"/>
          </a:pPr>
          <a:endParaRPr lang="pt-BR" sz="900" b="0" i="0" u="none" strike="noStrike" baseline="0">
            <a:solidFill>
              <a:srgbClr val="000000"/>
            </a:solidFill>
            <a:latin typeface="Arial"/>
            <a:cs typeface="Arial"/>
          </a:endParaRPr>
        </a:p>
      </xdr:txBody>
    </xdr:sp>
    <xdr:clientData/>
  </xdr:twoCellAnchor>
  <xdr:twoCellAnchor editAs="oneCell">
    <xdr:from>
      <xdr:col>1</xdr:col>
      <xdr:colOff>838200</xdr:colOff>
      <xdr:row>0</xdr:row>
      <xdr:rowOff>66675</xdr:rowOff>
    </xdr:from>
    <xdr:to>
      <xdr:col>3</xdr:col>
      <xdr:colOff>0</xdr:colOff>
      <xdr:row>1</xdr:row>
      <xdr:rowOff>28575</xdr:rowOff>
    </xdr:to>
    <xdr:pic>
      <xdr:nvPicPr>
        <xdr:cNvPr id="23880" name="Imagem 36" descr="logo-PMJM-2020.JPG"/>
        <xdr:cNvPicPr>
          <a:picLocks noChangeAspect="1"/>
        </xdr:cNvPicPr>
      </xdr:nvPicPr>
      <xdr:blipFill>
        <a:blip xmlns:r="http://schemas.openxmlformats.org/officeDocument/2006/relationships" r:embed="rId1" cstate="print"/>
        <a:srcRect/>
        <a:stretch>
          <a:fillRect/>
        </a:stretch>
      </xdr:blipFill>
      <xdr:spPr bwMode="auto">
        <a:xfrm>
          <a:off x="1162050" y="66675"/>
          <a:ext cx="1657350" cy="6381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1924050</xdr:colOff>
      <xdr:row>0</xdr:row>
      <xdr:rowOff>61481</xdr:rowOff>
    </xdr:from>
    <xdr:to>
      <xdr:col>4</xdr:col>
      <xdr:colOff>241589</xdr:colOff>
      <xdr:row>0</xdr:row>
      <xdr:rowOff>714375</xdr:rowOff>
    </xdr:to>
    <xdr:sp macro="" textlink="">
      <xdr:nvSpPr>
        <xdr:cNvPr id="3" name="Text Box 6"/>
        <xdr:cNvSpPr txBox="1">
          <a:spLocks noChangeArrowheads="1"/>
        </xdr:cNvSpPr>
      </xdr:nvSpPr>
      <xdr:spPr bwMode="auto">
        <a:xfrm>
          <a:off x="1924050" y="61481"/>
          <a:ext cx="3590925" cy="652894"/>
        </a:xfrm>
        <a:prstGeom prst="rect">
          <a:avLst/>
        </a:prstGeom>
        <a:noFill/>
        <a:ln>
          <a:noFill/>
        </a:ln>
        <a:extLst/>
      </xdr:spPr>
      <xdr:txBody>
        <a:bodyPr vertOverflow="clip" wrap="square" lIns="27432" tIns="22860" rIns="0" bIns="0" anchor="t"/>
        <a:lstStyle/>
        <a:p>
          <a:pPr algn="l" rtl="1"/>
          <a:r>
            <a:rPr lang="pt-BR" sz="1400" b="0" i="0">
              <a:latin typeface="+mn-lt"/>
              <a:ea typeface="+mn-ea"/>
              <a:cs typeface="+mn-cs"/>
            </a:rPr>
            <a:t>PREFEITURA MUNICIPAL DE JOÃO MONLEVADE</a:t>
          </a:r>
          <a:endParaRPr lang="pt-BR" sz="1400"/>
        </a:p>
        <a:p>
          <a:pPr algn="l" rtl="1"/>
          <a:r>
            <a:rPr lang="pt-BR" sz="1200" b="0" i="0">
              <a:latin typeface="+mn-lt"/>
              <a:ea typeface="+mn-ea"/>
              <a:cs typeface="+mn-cs"/>
            </a:rPr>
            <a:t>SECRETARIA</a:t>
          </a:r>
          <a:r>
            <a:rPr lang="pt-BR" sz="1200" b="0" i="0" baseline="0">
              <a:latin typeface="+mn-lt"/>
              <a:ea typeface="+mn-ea"/>
              <a:cs typeface="+mn-cs"/>
            </a:rPr>
            <a:t> MUNICIPAL DE OBRAS</a:t>
          </a:r>
          <a:endParaRPr lang="pt-BR" sz="1200"/>
        </a:p>
        <a:p>
          <a:pPr algn="l" rtl="1"/>
          <a:r>
            <a:rPr lang="pt-BR" sz="1100" b="0" i="0">
              <a:latin typeface="+mn-lt"/>
              <a:ea typeface="+mn-ea"/>
              <a:cs typeface="+mn-cs"/>
            </a:rPr>
            <a:t>Setor de Engenharia</a:t>
          </a:r>
          <a:endParaRPr lang="pt-BR" sz="900"/>
        </a:p>
        <a:p>
          <a:pPr algn="l" rtl="0">
            <a:defRPr sz="1000"/>
          </a:pPr>
          <a:endParaRPr lang="pt-BR" sz="900" b="0" i="0" u="none" strike="noStrike" baseline="0">
            <a:solidFill>
              <a:srgbClr val="000000"/>
            </a:solidFill>
            <a:latin typeface="Arial"/>
            <a:cs typeface="Arial"/>
          </a:endParaRPr>
        </a:p>
      </xdr:txBody>
    </xdr:sp>
    <xdr:clientData/>
  </xdr:twoCellAnchor>
  <xdr:twoCellAnchor editAs="oneCell">
    <xdr:from>
      <xdr:col>0</xdr:col>
      <xdr:colOff>95250</xdr:colOff>
      <xdr:row>0</xdr:row>
      <xdr:rowOff>76200</xdr:rowOff>
    </xdr:from>
    <xdr:to>
      <xdr:col>0</xdr:col>
      <xdr:colOff>1752600</xdr:colOff>
      <xdr:row>0</xdr:row>
      <xdr:rowOff>695325</xdr:rowOff>
    </xdr:to>
    <xdr:pic>
      <xdr:nvPicPr>
        <xdr:cNvPr id="19208" name="Imagem 36" descr="logo-PMJM-2020.JPG"/>
        <xdr:cNvPicPr>
          <a:picLocks noChangeAspect="1"/>
        </xdr:cNvPicPr>
      </xdr:nvPicPr>
      <xdr:blipFill>
        <a:blip xmlns:r="http://schemas.openxmlformats.org/officeDocument/2006/relationships" r:embed="rId1" cstate="print"/>
        <a:srcRect/>
        <a:stretch>
          <a:fillRect/>
        </a:stretch>
      </xdr:blipFill>
      <xdr:spPr bwMode="auto">
        <a:xfrm>
          <a:off x="95250" y="76200"/>
          <a:ext cx="1657350" cy="6191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447675</xdr:colOff>
      <xdr:row>0</xdr:row>
      <xdr:rowOff>19050</xdr:rowOff>
    </xdr:from>
    <xdr:to>
      <xdr:col>3</xdr:col>
      <xdr:colOff>1114425</xdr:colOff>
      <xdr:row>0</xdr:row>
      <xdr:rowOff>381000</xdr:rowOff>
    </xdr:to>
    <xdr:pic>
      <xdr:nvPicPr>
        <xdr:cNvPr id="17312" name="Imagem 1"/>
        <xdr:cNvPicPr>
          <a:picLocks noChangeAspect="1" noChangeArrowheads="1"/>
        </xdr:cNvPicPr>
      </xdr:nvPicPr>
      <xdr:blipFill>
        <a:blip xmlns:r="http://schemas.openxmlformats.org/officeDocument/2006/relationships" r:embed="rId1" cstate="print"/>
        <a:srcRect/>
        <a:stretch>
          <a:fillRect/>
        </a:stretch>
      </xdr:blipFill>
      <xdr:spPr bwMode="auto">
        <a:xfrm>
          <a:off x="4562475" y="19050"/>
          <a:ext cx="666750" cy="3619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304800</xdr:colOff>
      <xdr:row>2</xdr:row>
      <xdr:rowOff>28575</xdr:rowOff>
    </xdr:from>
    <xdr:to>
      <xdr:col>23</xdr:col>
      <xdr:colOff>600075</xdr:colOff>
      <xdr:row>55</xdr:row>
      <xdr:rowOff>9525</xdr:rowOff>
    </xdr:to>
    <xdr:pic>
      <xdr:nvPicPr>
        <xdr:cNvPr id="16322" name="Picture 2"/>
        <xdr:cNvPicPr>
          <a:picLocks noChangeAspect="1" noChangeArrowheads="1"/>
        </xdr:cNvPicPr>
      </xdr:nvPicPr>
      <xdr:blipFill>
        <a:blip xmlns:r="http://schemas.openxmlformats.org/officeDocument/2006/relationships" r:embed="rId1"/>
        <a:srcRect/>
        <a:stretch>
          <a:fillRect/>
        </a:stretch>
      </xdr:blipFill>
      <xdr:spPr bwMode="auto">
        <a:xfrm>
          <a:off x="914400" y="352425"/>
          <a:ext cx="13716000" cy="8562975"/>
        </a:xfrm>
        <a:prstGeom prst="rect">
          <a:avLst/>
        </a:prstGeom>
        <a:noFill/>
        <a:ln w="1">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ontato@animamixbrinquedos.com.b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O102"/>
  <sheetViews>
    <sheetView view="pageBreakPreview" zoomScaleSheetLayoutView="100" workbookViewId="0">
      <pane ySplit="8" topLeftCell="A87" activePane="bottomLeft" state="frozen"/>
      <selection pane="bottomLeft" activeCell="E91" sqref="E91"/>
    </sheetView>
  </sheetViews>
  <sheetFormatPr defaultRowHeight="12.75" x14ac:dyDescent="0.2"/>
  <cols>
    <col min="1" max="1" width="4.5703125" style="4" customWidth="1"/>
    <col min="2" max="2" width="11.7109375" style="4" customWidth="1"/>
    <col min="3" max="3" width="8.42578125" style="4" bestFit="1" customWidth="1"/>
    <col min="4" max="4" width="57.5703125" style="4" customWidth="1"/>
    <col min="5" max="5" width="6.140625" style="4" customWidth="1"/>
    <col min="6" max="6" width="9.5703125" style="4" customWidth="1"/>
    <col min="7" max="7" width="12.42578125" style="4" customWidth="1"/>
    <col min="8" max="8" width="13.140625" style="4" bestFit="1" customWidth="1"/>
    <col min="9" max="9" width="14.5703125" style="4" customWidth="1"/>
    <col min="10" max="10" width="9.140625" style="4"/>
    <col min="11" max="11" width="10.28515625" style="4" bestFit="1" customWidth="1"/>
    <col min="12" max="16384" width="9.140625" style="4"/>
  </cols>
  <sheetData>
    <row r="1" spans="1:15" ht="63.75" customHeight="1" x14ac:dyDescent="0.2">
      <c r="A1" s="226"/>
      <c r="B1" s="227"/>
      <c r="C1" s="227"/>
      <c r="D1" s="227"/>
      <c r="E1" s="227"/>
      <c r="F1" s="227"/>
      <c r="G1" s="227"/>
      <c r="H1" s="227"/>
      <c r="I1" s="228"/>
      <c r="J1" s="316"/>
      <c r="K1" s="317"/>
      <c r="L1" s="317"/>
      <c r="M1" s="317"/>
      <c r="N1" s="317"/>
      <c r="O1" s="317"/>
    </row>
    <row r="2" spans="1:15" ht="6" customHeight="1" x14ac:dyDescent="0.3">
      <c r="A2" s="325"/>
      <c r="B2" s="325"/>
      <c r="C2" s="325"/>
      <c r="D2" s="325"/>
      <c r="E2" s="325"/>
      <c r="F2" s="325"/>
      <c r="G2" s="325"/>
      <c r="H2" s="325"/>
      <c r="I2" s="325"/>
    </row>
    <row r="3" spans="1:15" ht="21" customHeight="1" x14ac:dyDescent="0.2">
      <c r="A3" s="328" t="s">
        <v>56</v>
      </c>
      <c r="B3" s="328"/>
      <c r="C3" s="328"/>
      <c r="D3" s="328"/>
      <c r="E3" s="328"/>
      <c r="F3" s="328"/>
      <c r="G3" s="328"/>
      <c r="H3" s="328"/>
      <c r="I3" s="328"/>
    </row>
    <row r="4" spans="1:15" ht="6" customHeight="1" x14ac:dyDescent="0.3">
      <c r="A4" s="325"/>
      <c r="B4" s="325"/>
      <c r="C4" s="325"/>
      <c r="D4" s="325"/>
      <c r="E4" s="325"/>
      <c r="F4" s="325"/>
      <c r="G4" s="325"/>
      <c r="H4" s="325"/>
      <c r="I4" s="325"/>
    </row>
    <row r="5" spans="1:15" ht="20.100000000000001" customHeight="1" x14ac:dyDescent="0.2">
      <c r="A5" s="318" t="s">
        <v>440</v>
      </c>
      <c r="B5" s="318"/>
      <c r="C5" s="318"/>
      <c r="D5" s="318"/>
      <c r="E5" s="318"/>
      <c r="F5" s="318"/>
      <c r="G5" s="319"/>
      <c r="H5" s="268" t="s">
        <v>70</v>
      </c>
      <c r="I5" s="269" t="s">
        <v>453</v>
      </c>
    </row>
    <row r="6" spans="1:15" ht="20.100000000000001" customHeight="1" x14ac:dyDescent="0.2">
      <c r="A6" s="321" t="s">
        <v>439</v>
      </c>
      <c r="B6" s="321"/>
      <c r="C6" s="321"/>
      <c r="D6" s="321"/>
      <c r="E6" s="321"/>
      <c r="F6" s="322" t="s">
        <v>57</v>
      </c>
      <c r="G6" s="322"/>
      <c r="H6" s="323"/>
      <c r="I6" s="323"/>
    </row>
    <row r="7" spans="1:15" ht="39" customHeight="1" x14ac:dyDescent="0.2">
      <c r="A7" s="318" t="s">
        <v>428</v>
      </c>
      <c r="B7" s="318"/>
      <c r="C7" s="318"/>
      <c r="D7" s="318"/>
      <c r="E7" s="319"/>
      <c r="F7" s="270" t="s">
        <v>58</v>
      </c>
      <c r="G7" s="271" t="s">
        <v>59</v>
      </c>
      <c r="H7" s="270" t="s">
        <v>60</v>
      </c>
      <c r="I7" s="272" t="s">
        <v>61</v>
      </c>
    </row>
    <row r="8" spans="1:15" ht="20.100000000000001" customHeight="1" x14ac:dyDescent="0.2">
      <c r="A8" s="319" t="s">
        <v>370</v>
      </c>
      <c r="B8" s="326"/>
      <c r="C8" s="326"/>
      <c r="D8" s="326"/>
      <c r="E8" s="327"/>
      <c r="F8" s="268" t="s">
        <v>62</v>
      </c>
      <c r="G8" s="273">
        <v>0.05</v>
      </c>
      <c r="H8" s="274" t="s">
        <v>63</v>
      </c>
      <c r="I8" s="275">
        <v>0.2467</v>
      </c>
    </row>
    <row r="9" spans="1:15" ht="6" customHeight="1" x14ac:dyDescent="0.2">
      <c r="A9" s="324"/>
      <c r="B9" s="324"/>
      <c r="C9" s="324"/>
      <c r="D9" s="324"/>
      <c r="E9" s="324"/>
      <c r="F9" s="324"/>
      <c r="G9" s="324"/>
      <c r="H9" s="324"/>
      <c r="I9" s="324"/>
    </row>
    <row r="10" spans="1:15" ht="26.25" customHeight="1" x14ac:dyDescent="0.2">
      <c r="A10" s="20" t="s">
        <v>0</v>
      </c>
      <c r="B10" s="329" t="s">
        <v>2</v>
      </c>
      <c r="C10" s="330"/>
      <c r="D10" s="20" t="s">
        <v>1</v>
      </c>
      <c r="E10" s="20" t="s">
        <v>437</v>
      </c>
      <c r="F10" s="20" t="s">
        <v>17</v>
      </c>
      <c r="G10" s="81" t="s">
        <v>180</v>
      </c>
      <c r="H10" s="81" t="s">
        <v>181</v>
      </c>
      <c r="I10" s="81" t="s">
        <v>3</v>
      </c>
    </row>
    <row r="11" spans="1:15" x14ac:dyDescent="0.2">
      <c r="A11" s="229">
        <v>1</v>
      </c>
      <c r="B11" s="230"/>
      <c r="C11" s="231"/>
      <c r="D11" s="232" t="s">
        <v>53</v>
      </c>
      <c r="E11" s="231"/>
      <c r="F11" s="233"/>
      <c r="G11" s="320"/>
      <c r="H11" s="320"/>
      <c r="I11" s="234">
        <f>SUBTOTAL(9,I12:I12)</f>
        <v>3083.36</v>
      </c>
    </row>
    <row r="12" spans="1:15" ht="27" customHeight="1" x14ac:dyDescent="0.2">
      <c r="A12" s="235" t="s">
        <v>4</v>
      </c>
      <c r="B12" s="236" t="s">
        <v>156</v>
      </c>
      <c r="C12" s="236" t="s">
        <v>103</v>
      </c>
      <c r="D12" s="237" t="s">
        <v>54</v>
      </c>
      <c r="E12" s="253" t="s">
        <v>95</v>
      </c>
      <c r="F12" s="283">
        <v>1</v>
      </c>
      <c r="G12" s="238">
        <f>H12/1.2467</f>
        <v>2473.2199999999998</v>
      </c>
      <c r="H12" s="239">
        <f>(I17+I23+I47+I68+I74+I86)*0.005</f>
        <v>3083.36</v>
      </c>
      <c r="I12" s="239">
        <f>F12*H12</f>
        <v>3083.36</v>
      </c>
    </row>
    <row r="13" spans="1:15" ht="6" customHeight="1" x14ac:dyDescent="0.2">
      <c r="A13" s="240"/>
      <c r="B13" s="241"/>
      <c r="C13" s="241"/>
      <c r="D13" s="242"/>
      <c r="E13" s="240"/>
      <c r="F13" s="276"/>
      <c r="G13" s="244"/>
      <c r="H13" s="245"/>
      <c r="I13" s="246"/>
    </row>
    <row r="14" spans="1:15" ht="13.5" customHeight="1" x14ac:dyDescent="0.2">
      <c r="A14" s="247">
        <v>2</v>
      </c>
      <c r="B14" s="231"/>
      <c r="C14" s="231"/>
      <c r="D14" s="255" t="s">
        <v>50</v>
      </c>
      <c r="E14" s="247"/>
      <c r="F14" s="277"/>
      <c r="G14" s="248"/>
      <c r="H14" s="234"/>
      <c r="I14" s="234">
        <f>SUBTOTAL(9,I15:I15)</f>
        <v>27617.19</v>
      </c>
    </row>
    <row r="15" spans="1:15" ht="20.100000000000001" customHeight="1" x14ac:dyDescent="0.2">
      <c r="A15" s="240" t="s">
        <v>5</v>
      </c>
      <c r="B15" s="236" t="s">
        <v>99</v>
      </c>
      <c r="C15" s="253" t="s">
        <v>87</v>
      </c>
      <c r="D15" s="237" t="s">
        <v>50</v>
      </c>
      <c r="E15" s="253" t="s">
        <v>95</v>
      </c>
      <c r="F15" s="276">
        <v>1</v>
      </c>
      <c r="G15" s="244">
        <f>'Composição de custos'!H15</f>
        <v>22152.23</v>
      </c>
      <c r="H15" s="239">
        <f>ROUND(G15*(1+$I$8),2)</f>
        <v>27617.19</v>
      </c>
      <c r="I15" s="239">
        <f>ROUND(F15*H15,2)</f>
        <v>27617.19</v>
      </c>
    </row>
    <row r="16" spans="1:15" ht="6" customHeight="1" x14ac:dyDescent="0.2">
      <c r="A16" s="240"/>
      <c r="B16" s="241"/>
      <c r="C16" s="241"/>
      <c r="D16" s="242"/>
      <c r="E16" s="240"/>
      <c r="F16" s="276"/>
      <c r="G16" s="244"/>
      <c r="H16" s="245"/>
      <c r="I16" s="246"/>
    </row>
    <row r="17" spans="1:11" x14ac:dyDescent="0.2">
      <c r="A17" s="247">
        <v>3</v>
      </c>
      <c r="B17" s="231"/>
      <c r="C17" s="231"/>
      <c r="D17" s="232" t="s">
        <v>390</v>
      </c>
      <c r="E17" s="247"/>
      <c r="F17" s="277"/>
      <c r="G17" s="248"/>
      <c r="H17" s="249"/>
      <c r="I17" s="234">
        <f>SUBTOTAL(9,I18:I21)</f>
        <v>12359.32</v>
      </c>
    </row>
    <row r="18" spans="1:11" ht="71.25" customHeight="1" x14ac:dyDescent="0.2">
      <c r="A18" s="250" t="s">
        <v>68</v>
      </c>
      <c r="B18" s="236" t="s">
        <v>156</v>
      </c>
      <c r="C18" s="251" t="s">
        <v>443</v>
      </c>
      <c r="D18" s="252" t="s">
        <v>448</v>
      </c>
      <c r="E18" s="253" t="s">
        <v>95</v>
      </c>
      <c r="F18" s="276">
        <v>1</v>
      </c>
      <c r="G18" s="239">
        <v>1156.19</v>
      </c>
      <c r="H18" s="239">
        <f>ROUND(G18*(1+$I$8),2)</f>
        <v>1441.42</v>
      </c>
      <c r="I18" s="239">
        <f>ROUND(F18*H18,2)</f>
        <v>1441.42</v>
      </c>
    </row>
    <row r="19" spans="1:11" ht="76.5" x14ac:dyDescent="0.2">
      <c r="A19" s="250" t="s">
        <v>441</v>
      </c>
      <c r="B19" s="236" t="s">
        <v>156</v>
      </c>
      <c r="C19" s="241" t="s">
        <v>135</v>
      </c>
      <c r="D19" s="242" t="s">
        <v>146</v>
      </c>
      <c r="E19" s="253" t="s">
        <v>55</v>
      </c>
      <c r="F19" s="253">
        <v>4</v>
      </c>
      <c r="G19" s="239">
        <v>794.83</v>
      </c>
      <c r="H19" s="239">
        <f>ROUND(G19*(1+$I$8),2)</f>
        <v>990.91</v>
      </c>
      <c r="I19" s="239">
        <f>ROUND(F19*H19,2)</f>
        <v>3963.64</v>
      </c>
    </row>
    <row r="20" spans="1:11" ht="39.75" customHeight="1" x14ac:dyDescent="0.2">
      <c r="A20" s="250" t="s">
        <v>442</v>
      </c>
      <c r="B20" s="236" t="s">
        <v>156</v>
      </c>
      <c r="C20" s="241" t="s">
        <v>136</v>
      </c>
      <c r="D20" s="242" t="s">
        <v>182</v>
      </c>
      <c r="E20" s="253" t="s">
        <v>95</v>
      </c>
      <c r="F20" s="253">
        <v>1</v>
      </c>
      <c r="G20" s="239">
        <v>1658.12</v>
      </c>
      <c r="H20" s="239">
        <f>ROUND(G20*(1+$I$8),2)</f>
        <v>2067.1799999999998</v>
      </c>
      <c r="I20" s="239">
        <f>ROUND(F20*H20,2)</f>
        <v>2067.1799999999998</v>
      </c>
    </row>
    <row r="21" spans="1:11" ht="39.75" customHeight="1" x14ac:dyDescent="0.2">
      <c r="A21" s="250" t="s">
        <v>446</v>
      </c>
      <c r="B21" s="236" t="s">
        <v>156</v>
      </c>
      <c r="C21" s="241" t="s">
        <v>445</v>
      </c>
      <c r="D21" s="242" t="s">
        <v>444</v>
      </c>
      <c r="E21" s="253" t="s">
        <v>55</v>
      </c>
      <c r="F21" s="253">
        <v>4</v>
      </c>
      <c r="G21" s="239">
        <v>980</v>
      </c>
      <c r="H21" s="239">
        <f>ROUND(G21*(1+$I$8),2)</f>
        <v>1221.77</v>
      </c>
      <c r="I21" s="239">
        <f>ROUND(F21*H21,2)</f>
        <v>4887.08</v>
      </c>
    </row>
    <row r="22" spans="1:11" ht="7.5" customHeight="1" x14ac:dyDescent="0.2">
      <c r="A22" s="235"/>
      <c r="B22" s="236"/>
      <c r="C22" s="236"/>
      <c r="D22" s="256"/>
      <c r="E22" s="240"/>
      <c r="F22" s="278"/>
      <c r="G22" s="238"/>
      <c r="H22" s="254"/>
      <c r="I22" s="239"/>
    </row>
    <row r="23" spans="1:11" ht="25.5" x14ac:dyDescent="0.2">
      <c r="A23" s="247">
        <v>4</v>
      </c>
      <c r="B23" s="231"/>
      <c r="C23" s="231"/>
      <c r="D23" s="255" t="s">
        <v>175</v>
      </c>
      <c r="E23" s="247"/>
      <c r="F23" s="277"/>
      <c r="G23" s="248"/>
      <c r="H23" s="249"/>
      <c r="I23" s="234">
        <f>I24+I32+I37</f>
        <v>364968.95</v>
      </c>
    </row>
    <row r="24" spans="1:11" x14ac:dyDescent="0.2">
      <c r="A24" s="257" t="s">
        <v>16</v>
      </c>
      <c r="B24" s="258"/>
      <c r="C24" s="258"/>
      <c r="D24" s="259" t="s">
        <v>201</v>
      </c>
      <c r="E24" s="257"/>
      <c r="F24" s="279"/>
      <c r="G24" s="260"/>
      <c r="H24" s="260"/>
      <c r="I24" s="260">
        <f>SUBTOTAL(9,I25:I30)</f>
        <v>19318.150000000001</v>
      </c>
      <c r="K24" s="284"/>
    </row>
    <row r="25" spans="1:11" ht="63.75" x14ac:dyDescent="0.2">
      <c r="A25" s="250" t="s">
        <v>110</v>
      </c>
      <c r="B25" s="236" t="s">
        <v>204</v>
      </c>
      <c r="C25" s="251">
        <v>101235</v>
      </c>
      <c r="D25" s="252" t="s">
        <v>205</v>
      </c>
      <c r="E25" s="253" t="s">
        <v>76</v>
      </c>
      <c r="F25" s="253">
        <f>'Memória de cálculo'!K30</f>
        <v>194.71</v>
      </c>
      <c r="G25" s="239">
        <v>18.45</v>
      </c>
      <c r="H25" s="239">
        <f t="shared" ref="H25:H30" si="0">ROUND(G25*(1+$I$8),2)</f>
        <v>23</v>
      </c>
      <c r="I25" s="239">
        <f t="shared" ref="I25:I30" si="1">ROUND(F25*H25,2)</f>
        <v>4478.33</v>
      </c>
    </row>
    <row r="26" spans="1:11" ht="76.5" x14ac:dyDescent="0.2">
      <c r="A26" s="250" t="s">
        <v>111</v>
      </c>
      <c r="B26" s="236" t="s">
        <v>204</v>
      </c>
      <c r="C26" s="251">
        <v>101235</v>
      </c>
      <c r="D26" s="252" t="s">
        <v>206</v>
      </c>
      <c r="E26" s="253" t="s">
        <v>7</v>
      </c>
      <c r="F26" s="253">
        <f>'Memória de cálculo'!K33</f>
        <v>16.739999999999998</v>
      </c>
      <c r="G26" s="239">
        <v>18.45</v>
      </c>
      <c r="H26" s="239">
        <f t="shared" si="0"/>
        <v>23</v>
      </c>
      <c r="I26" s="239">
        <f t="shared" si="1"/>
        <v>385.02</v>
      </c>
    </row>
    <row r="27" spans="1:11" ht="26.25" customHeight="1" x14ac:dyDescent="0.2">
      <c r="A27" s="250" t="s">
        <v>112</v>
      </c>
      <c r="B27" s="236" t="s">
        <v>204</v>
      </c>
      <c r="C27" s="251">
        <v>95875</v>
      </c>
      <c r="D27" s="252" t="s">
        <v>207</v>
      </c>
      <c r="E27" s="253" t="s">
        <v>97</v>
      </c>
      <c r="F27" s="253">
        <f>'Memória de cálculo'!K40</f>
        <v>1721.97</v>
      </c>
      <c r="G27" s="239">
        <v>2.5099999999999998</v>
      </c>
      <c r="H27" s="239">
        <f t="shared" si="0"/>
        <v>3.13</v>
      </c>
      <c r="I27" s="239">
        <f t="shared" si="1"/>
        <v>5389.77</v>
      </c>
    </row>
    <row r="28" spans="1:11" ht="25.5" x14ac:dyDescent="0.2">
      <c r="A28" s="250" t="s">
        <v>113</v>
      </c>
      <c r="B28" s="236" t="s">
        <v>204</v>
      </c>
      <c r="C28" s="251" t="s">
        <v>208</v>
      </c>
      <c r="D28" s="252" t="s">
        <v>209</v>
      </c>
      <c r="E28" s="253" t="s">
        <v>7</v>
      </c>
      <c r="F28" s="253">
        <f>'Memória de cálculo'!K57</f>
        <v>57.33</v>
      </c>
      <c r="G28" s="239">
        <v>89.55</v>
      </c>
      <c r="H28" s="239">
        <f t="shared" si="0"/>
        <v>111.64</v>
      </c>
      <c r="I28" s="239">
        <f t="shared" si="1"/>
        <v>6400.32</v>
      </c>
    </row>
    <row r="29" spans="1:11" ht="25.5" x14ac:dyDescent="0.2">
      <c r="A29" s="250" t="s">
        <v>114</v>
      </c>
      <c r="B29" s="236" t="s">
        <v>204</v>
      </c>
      <c r="C29" s="251">
        <v>93382</v>
      </c>
      <c r="D29" s="252" t="s">
        <v>210</v>
      </c>
      <c r="E29" s="253" t="s">
        <v>7</v>
      </c>
      <c r="F29" s="253">
        <f>'Memória de cálculo'!K66</f>
        <v>16.739999999999998</v>
      </c>
      <c r="G29" s="239">
        <v>28.28</v>
      </c>
      <c r="H29" s="239">
        <f t="shared" si="0"/>
        <v>35.26</v>
      </c>
      <c r="I29" s="239">
        <f t="shared" si="1"/>
        <v>590.25</v>
      </c>
    </row>
    <row r="30" spans="1:11" ht="25.5" customHeight="1" x14ac:dyDescent="0.2">
      <c r="A30" s="250" t="s">
        <v>202</v>
      </c>
      <c r="B30" s="236" t="s">
        <v>204</v>
      </c>
      <c r="C30" s="251">
        <v>98525</v>
      </c>
      <c r="D30" s="252" t="s">
        <v>211</v>
      </c>
      <c r="E30" s="253" t="s">
        <v>6</v>
      </c>
      <c r="F30" s="253">
        <f>'Memória de cálculo'!K82</f>
        <v>2330.85</v>
      </c>
      <c r="G30" s="239">
        <v>0.71</v>
      </c>
      <c r="H30" s="239">
        <f t="shared" si="0"/>
        <v>0.89</v>
      </c>
      <c r="I30" s="239">
        <f t="shared" si="1"/>
        <v>2074.46</v>
      </c>
    </row>
    <row r="31" spans="1:11" ht="7.5" customHeight="1" x14ac:dyDescent="0.2">
      <c r="A31" s="250"/>
      <c r="B31" s="241"/>
      <c r="C31" s="251"/>
      <c r="D31" s="252"/>
      <c r="E31" s="253"/>
      <c r="F31" s="253"/>
      <c r="G31" s="239"/>
      <c r="H31" s="239"/>
      <c r="I31" s="239"/>
    </row>
    <row r="32" spans="1:11" x14ac:dyDescent="0.2">
      <c r="A32" s="257" t="s">
        <v>77</v>
      </c>
      <c r="B32" s="258"/>
      <c r="C32" s="258"/>
      <c r="D32" s="259" t="s">
        <v>236</v>
      </c>
      <c r="E32" s="257"/>
      <c r="F32" s="279"/>
      <c r="G32" s="260"/>
      <c r="H32" s="260"/>
      <c r="I32" s="260">
        <f>SUBTOTAL(9,I33:I35)</f>
        <v>3322.42</v>
      </c>
    </row>
    <row r="33" spans="1:9" ht="25.5" x14ac:dyDescent="0.2">
      <c r="A33" s="261" t="s">
        <v>115</v>
      </c>
      <c r="B33" s="236" t="s">
        <v>204</v>
      </c>
      <c r="C33" s="251">
        <v>104796</v>
      </c>
      <c r="D33" s="252" t="s">
        <v>214</v>
      </c>
      <c r="E33" s="240" t="s">
        <v>98</v>
      </c>
      <c r="F33" s="253">
        <f>'Memória de cálculo'!K88</f>
        <v>169.5</v>
      </c>
      <c r="G33" s="239">
        <v>15.23</v>
      </c>
      <c r="H33" s="239">
        <f>ROUND(G33*(1+$I$8),2)</f>
        <v>18.989999999999998</v>
      </c>
      <c r="I33" s="239">
        <f>ROUND(F33*H33,2)</f>
        <v>3218.81</v>
      </c>
    </row>
    <row r="34" spans="1:9" s="119" customFormat="1" ht="51" x14ac:dyDescent="0.2">
      <c r="A34" s="261" t="s">
        <v>252</v>
      </c>
      <c r="B34" s="241" t="s">
        <v>204</v>
      </c>
      <c r="C34" s="251">
        <v>100974</v>
      </c>
      <c r="D34" s="252" t="s">
        <v>215</v>
      </c>
      <c r="E34" s="240" t="s">
        <v>7</v>
      </c>
      <c r="F34" s="253">
        <v>9</v>
      </c>
      <c r="G34" s="239">
        <v>8.84</v>
      </c>
      <c r="H34" s="239">
        <f>ROUND(G34*(1+$I$8),2)</f>
        <v>11.02</v>
      </c>
      <c r="I34" s="239">
        <f>ROUND(F34*H34,2)</f>
        <v>99.18</v>
      </c>
    </row>
    <row r="35" spans="1:9" s="119" customFormat="1" ht="25.5" x14ac:dyDescent="0.2">
      <c r="A35" s="261" t="s">
        <v>116</v>
      </c>
      <c r="B35" s="241" t="s">
        <v>204</v>
      </c>
      <c r="C35" s="251">
        <v>95877</v>
      </c>
      <c r="D35" s="252" t="s">
        <v>216</v>
      </c>
      <c r="E35" s="240" t="s">
        <v>97</v>
      </c>
      <c r="F35" s="253">
        <v>1.9</v>
      </c>
      <c r="G35" s="239">
        <v>1.87</v>
      </c>
      <c r="H35" s="239">
        <f>ROUND(G35*(1+$I$8),2)</f>
        <v>2.33</v>
      </c>
      <c r="I35" s="239">
        <f>ROUND(F35*H35,2)</f>
        <v>4.43</v>
      </c>
    </row>
    <row r="36" spans="1:9" ht="7.5" customHeight="1" x14ac:dyDescent="0.2">
      <c r="A36" s="240"/>
      <c r="B36" s="241"/>
      <c r="C36" s="241"/>
      <c r="D36" s="242"/>
      <c r="E36" s="240"/>
      <c r="F36" s="276"/>
      <c r="G36" s="244"/>
      <c r="H36" s="245"/>
      <c r="I36" s="262"/>
    </row>
    <row r="37" spans="1:9" x14ac:dyDescent="0.2">
      <c r="A37" s="257" t="s">
        <v>96</v>
      </c>
      <c r="B37" s="258"/>
      <c r="C37" s="258"/>
      <c r="D37" s="259" t="s">
        <v>235</v>
      </c>
      <c r="E37" s="257"/>
      <c r="F37" s="279"/>
      <c r="G37" s="260"/>
      <c r="H37" s="260"/>
      <c r="I37" s="260">
        <f>SUBTOTAL(9,I38:I45)</f>
        <v>342328.38</v>
      </c>
    </row>
    <row r="38" spans="1:9" ht="51" x14ac:dyDescent="0.2">
      <c r="A38" s="263" t="s">
        <v>230</v>
      </c>
      <c r="B38" s="236" t="s">
        <v>99</v>
      </c>
      <c r="C38" s="236" t="s">
        <v>100</v>
      </c>
      <c r="D38" s="264" t="s">
        <v>232</v>
      </c>
      <c r="E38" s="253" t="s">
        <v>98</v>
      </c>
      <c r="F38" s="253">
        <f>'Memória de cálculo'!K109</f>
        <v>108.17</v>
      </c>
      <c r="G38" s="239">
        <f>'Composição de custos'!H26</f>
        <v>179.75</v>
      </c>
      <c r="H38" s="239">
        <f t="shared" ref="H38:H45" si="2">ROUND(G38*(1+$I$8),2)</f>
        <v>224.09</v>
      </c>
      <c r="I38" s="239">
        <f t="shared" ref="I38:I45" si="3">ROUND(F38*H38,2)</f>
        <v>24239.82</v>
      </c>
    </row>
    <row r="39" spans="1:9" ht="63.75" x14ac:dyDescent="0.2">
      <c r="A39" s="263" t="s">
        <v>231</v>
      </c>
      <c r="B39" s="236" t="s">
        <v>99</v>
      </c>
      <c r="C39" s="236" t="s">
        <v>105</v>
      </c>
      <c r="D39" s="264" t="s">
        <v>319</v>
      </c>
      <c r="E39" s="253" t="s">
        <v>98</v>
      </c>
      <c r="F39" s="253">
        <f>'Memória de cálculo'!K119</f>
        <v>40.61</v>
      </c>
      <c r="G39" s="239">
        <f>'Composição de custos'!H40</f>
        <v>198.04</v>
      </c>
      <c r="H39" s="239">
        <f t="shared" si="2"/>
        <v>246.9</v>
      </c>
      <c r="I39" s="239">
        <f t="shared" si="3"/>
        <v>10026.61</v>
      </c>
    </row>
    <row r="40" spans="1:9" ht="51" x14ac:dyDescent="0.2">
      <c r="A40" s="261" t="s">
        <v>117</v>
      </c>
      <c r="B40" s="236" t="s">
        <v>156</v>
      </c>
      <c r="C40" s="241" t="s">
        <v>234</v>
      </c>
      <c r="D40" s="265" t="s">
        <v>233</v>
      </c>
      <c r="E40" s="253" t="s">
        <v>98</v>
      </c>
      <c r="F40" s="253">
        <f>'Memória de cálculo'!K128</f>
        <v>122.64</v>
      </c>
      <c r="G40" s="239">
        <v>53.55</v>
      </c>
      <c r="H40" s="239">
        <f t="shared" si="2"/>
        <v>66.760000000000005</v>
      </c>
      <c r="I40" s="239">
        <f t="shared" si="3"/>
        <v>8187.45</v>
      </c>
    </row>
    <row r="41" spans="1:9" ht="51" x14ac:dyDescent="0.2">
      <c r="A41" s="261" t="s">
        <v>118</v>
      </c>
      <c r="B41" s="236" t="s">
        <v>204</v>
      </c>
      <c r="C41" s="241">
        <v>94273</v>
      </c>
      <c r="D41" s="266" t="s">
        <v>329</v>
      </c>
      <c r="E41" s="253" t="s">
        <v>98</v>
      </c>
      <c r="F41" s="253">
        <f>'Memória de cálculo'!K137</f>
        <v>457.68</v>
      </c>
      <c r="G41" s="239">
        <v>64.36</v>
      </c>
      <c r="H41" s="239">
        <f t="shared" si="2"/>
        <v>80.239999999999995</v>
      </c>
      <c r="I41" s="239">
        <f t="shared" si="3"/>
        <v>36724.239999999998</v>
      </c>
    </row>
    <row r="42" spans="1:9" ht="25.5" x14ac:dyDescent="0.2">
      <c r="A42" s="261" t="s">
        <v>253</v>
      </c>
      <c r="B42" s="236" t="s">
        <v>204</v>
      </c>
      <c r="C42" s="241">
        <v>93681</v>
      </c>
      <c r="D42" s="265" t="s">
        <v>237</v>
      </c>
      <c r="E42" s="253" t="s">
        <v>6</v>
      </c>
      <c r="F42" s="253">
        <f>'Memória de cálculo'!K144</f>
        <v>178.18</v>
      </c>
      <c r="G42" s="239">
        <v>115.1</v>
      </c>
      <c r="H42" s="239">
        <f t="shared" si="2"/>
        <v>143.5</v>
      </c>
      <c r="I42" s="239">
        <f t="shared" si="3"/>
        <v>25568.83</v>
      </c>
    </row>
    <row r="43" spans="1:9" ht="38.25" x14ac:dyDescent="0.2">
      <c r="A43" s="261" t="s">
        <v>254</v>
      </c>
      <c r="B43" s="236" t="s">
        <v>204</v>
      </c>
      <c r="C43" s="241">
        <v>92398</v>
      </c>
      <c r="D43" s="281" t="s">
        <v>238</v>
      </c>
      <c r="E43" s="253" t="s">
        <v>6</v>
      </c>
      <c r="F43" s="253">
        <f>'Memória de cálculo'!K154</f>
        <v>1854.63</v>
      </c>
      <c r="G43" s="239">
        <v>92.56</v>
      </c>
      <c r="H43" s="239">
        <f t="shared" si="2"/>
        <v>115.39</v>
      </c>
      <c r="I43" s="239">
        <f t="shared" si="3"/>
        <v>214005.76000000001</v>
      </c>
    </row>
    <row r="44" spans="1:9" ht="51" x14ac:dyDescent="0.2">
      <c r="A44" s="261" t="s">
        <v>255</v>
      </c>
      <c r="B44" s="236" t="s">
        <v>224</v>
      </c>
      <c r="C44" s="236" t="s">
        <v>223</v>
      </c>
      <c r="D44" s="264" t="s">
        <v>222</v>
      </c>
      <c r="E44" s="253" t="s">
        <v>6</v>
      </c>
      <c r="F44" s="253">
        <f>'Memória de cálculo'!K160</f>
        <v>3.36</v>
      </c>
      <c r="G44" s="239">
        <v>630.91</v>
      </c>
      <c r="H44" s="239">
        <f t="shared" si="2"/>
        <v>786.56</v>
      </c>
      <c r="I44" s="239">
        <f t="shared" si="3"/>
        <v>2642.84</v>
      </c>
    </row>
    <row r="45" spans="1:9" ht="51" x14ac:dyDescent="0.2">
      <c r="A45" s="263" t="s">
        <v>256</v>
      </c>
      <c r="B45" s="236" t="s">
        <v>289</v>
      </c>
      <c r="C45" s="236">
        <v>13778</v>
      </c>
      <c r="D45" s="264" t="s">
        <v>321</v>
      </c>
      <c r="E45" s="253" t="s">
        <v>98</v>
      </c>
      <c r="F45" s="253">
        <f>'Memória de cálculo'!K164</f>
        <v>40.61</v>
      </c>
      <c r="G45" s="239">
        <v>413.46</v>
      </c>
      <c r="H45" s="239">
        <f t="shared" si="2"/>
        <v>515.46</v>
      </c>
      <c r="I45" s="239">
        <f t="shared" si="3"/>
        <v>20932.830000000002</v>
      </c>
    </row>
    <row r="46" spans="1:9" ht="9" customHeight="1" x14ac:dyDescent="0.2">
      <c r="A46" s="240"/>
      <c r="B46" s="241"/>
      <c r="C46" s="241"/>
      <c r="D46" s="242"/>
      <c r="E46" s="240"/>
      <c r="F46" s="276"/>
      <c r="G46" s="244"/>
      <c r="H46" s="254"/>
      <c r="I46" s="239"/>
    </row>
    <row r="47" spans="1:9" x14ac:dyDescent="0.2">
      <c r="A47" s="247">
        <v>5</v>
      </c>
      <c r="B47" s="231"/>
      <c r="C47" s="231"/>
      <c r="D47" s="255" t="s">
        <v>389</v>
      </c>
      <c r="E47" s="247"/>
      <c r="F47" s="277"/>
      <c r="G47" s="248"/>
      <c r="H47" s="249"/>
      <c r="I47" s="234">
        <f>I48+I56+I62</f>
        <v>115287.38</v>
      </c>
    </row>
    <row r="48" spans="1:9" x14ac:dyDescent="0.2">
      <c r="A48" s="257" t="s">
        <v>107</v>
      </c>
      <c r="B48" s="258"/>
      <c r="C48" s="258"/>
      <c r="D48" s="259" t="s">
        <v>277</v>
      </c>
      <c r="E48" s="257"/>
      <c r="F48" s="279"/>
      <c r="G48" s="260"/>
      <c r="H48" s="260"/>
      <c r="I48" s="260">
        <f>SUBTOTAL(9,I49:I54)</f>
        <v>101841</v>
      </c>
    </row>
    <row r="49" spans="1:9" ht="52.5" customHeight="1" x14ac:dyDescent="0.2">
      <c r="A49" s="250" t="s">
        <v>239</v>
      </c>
      <c r="B49" s="236" t="s">
        <v>156</v>
      </c>
      <c r="C49" s="251" t="s">
        <v>161</v>
      </c>
      <c r="D49" s="252" t="s">
        <v>162</v>
      </c>
      <c r="E49" s="253" t="s">
        <v>95</v>
      </c>
      <c r="F49" s="253">
        <f>'Memória de cálculo'!K169</f>
        <v>26</v>
      </c>
      <c r="G49" s="239">
        <v>218.49</v>
      </c>
      <c r="H49" s="239">
        <f t="shared" ref="H49:H54" si="4">ROUND(G49*(1+$I$8),2)</f>
        <v>272.39</v>
      </c>
      <c r="I49" s="239">
        <f t="shared" ref="I49:I54" si="5">ROUND(F49*H49,2)</f>
        <v>7082.14</v>
      </c>
    </row>
    <row r="50" spans="1:9" ht="51" x14ac:dyDescent="0.2">
      <c r="A50" s="250" t="s">
        <v>240</v>
      </c>
      <c r="B50" s="236" t="s">
        <v>289</v>
      </c>
      <c r="C50" s="251">
        <v>13202</v>
      </c>
      <c r="D50" s="252" t="s">
        <v>326</v>
      </c>
      <c r="E50" s="253" t="s">
        <v>95</v>
      </c>
      <c r="F50" s="253">
        <f>'Memória de cálculo'!K172</f>
        <v>25</v>
      </c>
      <c r="G50" s="239">
        <v>2575.2800000000002</v>
      </c>
      <c r="H50" s="239">
        <f t="shared" si="4"/>
        <v>3210.6</v>
      </c>
      <c r="I50" s="239">
        <f t="shared" si="5"/>
        <v>80265</v>
      </c>
    </row>
    <row r="51" spans="1:9" ht="26.25" customHeight="1" x14ac:dyDescent="0.2">
      <c r="A51" s="250" t="s">
        <v>241</v>
      </c>
      <c r="B51" s="236" t="s">
        <v>156</v>
      </c>
      <c r="C51" s="251" t="s">
        <v>154</v>
      </c>
      <c r="D51" s="252" t="s">
        <v>153</v>
      </c>
      <c r="E51" s="253" t="s">
        <v>76</v>
      </c>
      <c r="F51" s="253">
        <f>'Memória de cálculo'!K178</f>
        <v>18.59</v>
      </c>
      <c r="G51" s="239">
        <v>77.290000000000006</v>
      </c>
      <c r="H51" s="239">
        <f t="shared" si="4"/>
        <v>96.36</v>
      </c>
      <c r="I51" s="239">
        <f t="shared" si="5"/>
        <v>1791.33</v>
      </c>
    </row>
    <row r="52" spans="1:9" ht="38.25" x14ac:dyDescent="0.2">
      <c r="A52" s="250" t="s">
        <v>242</v>
      </c>
      <c r="B52" s="236" t="s">
        <v>156</v>
      </c>
      <c r="C52" s="251" t="s">
        <v>155</v>
      </c>
      <c r="D52" s="252" t="s">
        <v>157</v>
      </c>
      <c r="E52" s="253" t="s">
        <v>7</v>
      </c>
      <c r="F52" s="253">
        <f>'Memória de cálculo'!K184</f>
        <v>18.59</v>
      </c>
      <c r="G52" s="239">
        <v>48.38</v>
      </c>
      <c r="H52" s="239">
        <f t="shared" si="4"/>
        <v>60.32</v>
      </c>
      <c r="I52" s="239">
        <f t="shared" si="5"/>
        <v>1121.3499999999999</v>
      </c>
    </row>
    <row r="53" spans="1:9" ht="38.25" x14ac:dyDescent="0.2">
      <c r="A53" s="250" t="s">
        <v>243</v>
      </c>
      <c r="B53" s="236" t="s">
        <v>99</v>
      </c>
      <c r="C53" s="251" t="s">
        <v>318</v>
      </c>
      <c r="D53" s="252" t="s">
        <v>176</v>
      </c>
      <c r="E53" s="253" t="s">
        <v>98</v>
      </c>
      <c r="F53" s="253">
        <f>'Memória de cálculo'!K190</f>
        <v>309.74</v>
      </c>
      <c r="G53" s="239">
        <f>'Composição de custos'!H45</f>
        <v>5.22</v>
      </c>
      <c r="H53" s="239">
        <f t="shared" si="4"/>
        <v>6.51</v>
      </c>
      <c r="I53" s="239">
        <f t="shared" si="5"/>
        <v>2016.41</v>
      </c>
    </row>
    <row r="54" spans="1:9" ht="38.25" x14ac:dyDescent="0.2">
      <c r="A54" s="250" t="s">
        <v>244</v>
      </c>
      <c r="B54" s="236" t="s">
        <v>99</v>
      </c>
      <c r="C54" s="251" t="s">
        <v>320</v>
      </c>
      <c r="D54" s="252" t="s">
        <v>177</v>
      </c>
      <c r="E54" s="253" t="s">
        <v>98</v>
      </c>
      <c r="F54" s="253">
        <f>'Memória de cálculo'!K195</f>
        <v>309.74</v>
      </c>
      <c r="G54" s="239">
        <f>'Composição de custos'!H53</f>
        <v>24.77</v>
      </c>
      <c r="H54" s="239">
        <f t="shared" si="4"/>
        <v>30.88</v>
      </c>
      <c r="I54" s="239">
        <f t="shared" si="5"/>
        <v>9564.77</v>
      </c>
    </row>
    <row r="55" spans="1:9" x14ac:dyDescent="0.2">
      <c r="A55" s="250"/>
      <c r="B55" s="236"/>
      <c r="C55" s="251"/>
      <c r="D55" s="252"/>
      <c r="E55" s="253"/>
      <c r="F55" s="253"/>
      <c r="G55" s="239"/>
      <c r="H55" s="239"/>
      <c r="I55" s="239"/>
    </row>
    <row r="56" spans="1:9" x14ac:dyDescent="0.2">
      <c r="A56" s="257" t="s">
        <v>119</v>
      </c>
      <c r="B56" s="258"/>
      <c r="C56" s="258"/>
      <c r="D56" s="259" t="s">
        <v>278</v>
      </c>
      <c r="E56" s="257"/>
      <c r="F56" s="279"/>
      <c r="G56" s="260"/>
      <c r="H56" s="260"/>
      <c r="I56" s="260">
        <f>SUBTOTAL(9,I57:I60)</f>
        <v>783.95</v>
      </c>
    </row>
    <row r="57" spans="1:9" ht="63.75" x14ac:dyDescent="0.2">
      <c r="A57" s="250" t="s">
        <v>274</v>
      </c>
      <c r="B57" s="236" t="s">
        <v>156</v>
      </c>
      <c r="C57" s="251" t="s">
        <v>161</v>
      </c>
      <c r="D57" s="252" t="s">
        <v>162</v>
      </c>
      <c r="E57" s="253" t="s">
        <v>95</v>
      </c>
      <c r="F57" s="253">
        <f>'Memória de cálculo'!K199</f>
        <v>1</v>
      </c>
      <c r="G57" s="239">
        <v>218.49</v>
      </c>
      <c r="H57" s="239">
        <f>ROUND(G57*(1+$I$8),2)</f>
        <v>272.39</v>
      </c>
      <c r="I57" s="239">
        <f>ROUND(F57*H57,2)</f>
        <v>272.39</v>
      </c>
    </row>
    <row r="58" spans="1:9" ht="25.5" x14ac:dyDescent="0.2">
      <c r="A58" s="250" t="s">
        <v>273</v>
      </c>
      <c r="B58" s="236" t="s">
        <v>156</v>
      </c>
      <c r="C58" s="251" t="s">
        <v>154</v>
      </c>
      <c r="D58" s="252" t="s">
        <v>153</v>
      </c>
      <c r="E58" s="253" t="s">
        <v>76</v>
      </c>
      <c r="F58" s="253">
        <f>'Memória de cálculo'!K203</f>
        <v>1.93</v>
      </c>
      <c r="G58" s="239">
        <v>77.290000000000006</v>
      </c>
      <c r="H58" s="239">
        <f>ROUND(G58*(1+$I$8),2)</f>
        <v>96.36</v>
      </c>
      <c r="I58" s="239">
        <f>ROUND(F58*H58,2)</f>
        <v>185.97</v>
      </c>
    </row>
    <row r="59" spans="1:9" ht="38.25" x14ac:dyDescent="0.2">
      <c r="A59" s="250" t="s">
        <v>275</v>
      </c>
      <c r="B59" s="236" t="s">
        <v>156</v>
      </c>
      <c r="C59" s="251" t="s">
        <v>155</v>
      </c>
      <c r="D59" s="252" t="s">
        <v>157</v>
      </c>
      <c r="E59" s="253" t="s">
        <v>7</v>
      </c>
      <c r="F59" s="253">
        <f>'Memória de cálculo'!K207</f>
        <v>1.93</v>
      </c>
      <c r="G59" s="239">
        <v>48.38</v>
      </c>
      <c r="H59" s="239">
        <f>ROUND(G59*(1+$I$8),2)</f>
        <v>60.32</v>
      </c>
      <c r="I59" s="239">
        <f>ROUND(F59*H59,2)</f>
        <v>116.42</v>
      </c>
    </row>
    <row r="60" spans="1:9" ht="38.25" x14ac:dyDescent="0.2">
      <c r="A60" s="250" t="s">
        <v>276</v>
      </c>
      <c r="B60" s="236" t="s">
        <v>99</v>
      </c>
      <c r="C60" s="251" t="s">
        <v>318</v>
      </c>
      <c r="D60" s="252" t="s">
        <v>176</v>
      </c>
      <c r="E60" s="253" t="s">
        <v>98</v>
      </c>
      <c r="F60" s="253">
        <f>'Memória de cálculo'!K210</f>
        <v>32.130000000000003</v>
      </c>
      <c r="G60" s="239">
        <f>'Composição de custos'!H45</f>
        <v>5.22</v>
      </c>
      <c r="H60" s="239">
        <f>ROUND(G60*(1+$I$8),2)</f>
        <v>6.51</v>
      </c>
      <c r="I60" s="239">
        <f>ROUND(F60*H60,2)</f>
        <v>209.17</v>
      </c>
    </row>
    <row r="61" spans="1:9" x14ac:dyDescent="0.2">
      <c r="A61" s="250"/>
      <c r="B61" s="236"/>
      <c r="C61" s="251"/>
      <c r="D61" s="252"/>
      <c r="E61" s="253"/>
      <c r="F61" s="253"/>
      <c r="G61" s="239"/>
      <c r="H61" s="239"/>
      <c r="I61" s="239"/>
    </row>
    <row r="62" spans="1:9" x14ac:dyDescent="0.2">
      <c r="A62" s="257" t="s">
        <v>324</v>
      </c>
      <c r="B62" s="258"/>
      <c r="C62" s="258"/>
      <c r="D62" s="259" t="s">
        <v>325</v>
      </c>
      <c r="E62" s="257"/>
      <c r="F62" s="279"/>
      <c r="G62" s="260"/>
      <c r="H62" s="260"/>
      <c r="I62" s="260">
        <f>SUBTOTAL(9,I63:I66)</f>
        <v>12662.43</v>
      </c>
    </row>
    <row r="63" spans="1:9" ht="25.5" x14ac:dyDescent="0.2">
      <c r="A63" s="250" t="s">
        <v>333</v>
      </c>
      <c r="B63" s="236" t="s">
        <v>156</v>
      </c>
      <c r="C63" s="251" t="s">
        <v>154</v>
      </c>
      <c r="D63" s="252" t="s">
        <v>153</v>
      </c>
      <c r="E63" s="253" t="s">
        <v>76</v>
      </c>
      <c r="F63" s="253">
        <f>'Memória de cálculo'!K214</f>
        <v>32.130000000000003</v>
      </c>
      <c r="G63" s="239">
        <v>77.290000000000006</v>
      </c>
      <c r="H63" s="239">
        <f>ROUND(G63*(1+$I$8),2)</f>
        <v>96.36</v>
      </c>
      <c r="I63" s="239">
        <f>ROUND(F63*H63,2)</f>
        <v>3096.05</v>
      </c>
    </row>
    <row r="64" spans="1:9" ht="25.5" x14ac:dyDescent="0.2">
      <c r="A64" s="250" t="s">
        <v>334</v>
      </c>
      <c r="B64" s="236" t="s">
        <v>156</v>
      </c>
      <c r="C64" s="251" t="s">
        <v>328</v>
      </c>
      <c r="D64" s="252" t="s">
        <v>327</v>
      </c>
      <c r="E64" s="253" t="s">
        <v>98</v>
      </c>
      <c r="F64" s="253">
        <f>'Memória de cálculo'!K217</f>
        <v>32.130000000000003</v>
      </c>
      <c r="G64" s="239">
        <v>22.65</v>
      </c>
      <c r="H64" s="239">
        <f>ROUND(G64*(1+$I$8),2)</f>
        <v>28.24</v>
      </c>
      <c r="I64" s="239">
        <f>ROUND(F64*H64,2)</f>
        <v>907.35</v>
      </c>
    </row>
    <row r="65" spans="1:11" ht="25.5" x14ac:dyDescent="0.2">
      <c r="A65" s="250" t="s">
        <v>335</v>
      </c>
      <c r="B65" s="236" t="s">
        <v>99</v>
      </c>
      <c r="C65" s="251" t="s">
        <v>322</v>
      </c>
      <c r="D65" s="252" t="s">
        <v>387</v>
      </c>
      <c r="E65" s="253" t="s">
        <v>95</v>
      </c>
      <c r="F65" s="253">
        <f>'Memória de cálculo'!K220</f>
        <v>32.130000000000003</v>
      </c>
      <c r="G65" s="239">
        <f>'Composição de custos'!H59</f>
        <v>167.79</v>
      </c>
      <c r="H65" s="239">
        <f>ROUND(G65*(1+$I$8),2)</f>
        <v>209.18</v>
      </c>
      <c r="I65" s="239">
        <f>ROUND(F65*H65,2)</f>
        <v>6720.95</v>
      </c>
    </row>
    <row r="66" spans="1:11" ht="38.25" x14ac:dyDescent="0.2">
      <c r="A66" s="250" t="s">
        <v>336</v>
      </c>
      <c r="B66" s="236" t="s">
        <v>156</v>
      </c>
      <c r="C66" s="251" t="s">
        <v>155</v>
      </c>
      <c r="D66" s="252" t="s">
        <v>157</v>
      </c>
      <c r="E66" s="253" t="s">
        <v>7</v>
      </c>
      <c r="F66" s="253">
        <f>'Memória de cálculo'!K223</f>
        <v>32.130000000000003</v>
      </c>
      <c r="G66" s="239">
        <v>48.38</v>
      </c>
      <c r="H66" s="239">
        <f>ROUND(G66*(1+$I$8),2)</f>
        <v>60.32</v>
      </c>
      <c r="I66" s="239">
        <f>ROUND(F66*H66,2)</f>
        <v>1938.08</v>
      </c>
    </row>
    <row r="67" spans="1:11" x14ac:dyDescent="0.2">
      <c r="A67" s="250"/>
      <c r="B67" s="236"/>
      <c r="C67" s="251"/>
      <c r="D67" s="252"/>
      <c r="E67" s="253"/>
      <c r="F67" s="253"/>
      <c r="G67" s="239"/>
      <c r="H67" s="239"/>
      <c r="I67" s="239"/>
    </row>
    <row r="68" spans="1:11" x14ac:dyDescent="0.2">
      <c r="A68" s="247">
        <v>6</v>
      </c>
      <c r="B68" s="231"/>
      <c r="C68" s="231"/>
      <c r="D68" s="255" t="s">
        <v>323</v>
      </c>
      <c r="E68" s="247"/>
      <c r="F68" s="277"/>
      <c r="G68" s="248"/>
      <c r="H68" s="249"/>
      <c r="I68" s="234">
        <f>SUBTOTAL(9,I69:I72)</f>
        <v>8213.4699999999993</v>
      </c>
    </row>
    <row r="69" spans="1:11" ht="25.5" x14ac:dyDescent="0.2">
      <c r="A69" s="263" t="s">
        <v>150</v>
      </c>
      <c r="B69" s="236" t="s">
        <v>204</v>
      </c>
      <c r="C69" s="251">
        <v>103946</v>
      </c>
      <c r="D69" s="252" t="s">
        <v>294</v>
      </c>
      <c r="E69" s="253" t="s">
        <v>6</v>
      </c>
      <c r="F69" s="253">
        <f>'Memória de cálculo'!K234</f>
        <v>298.04000000000002</v>
      </c>
      <c r="G69" s="239">
        <v>16.11</v>
      </c>
      <c r="H69" s="239">
        <f>ROUND(G69*(1+$I$8),2)</f>
        <v>20.079999999999998</v>
      </c>
      <c r="I69" s="239">
        <f>ROUND(F69*H69,2)</f>
        <v>5984.64</v>
      </c>
    </row>
    <row r="70" spans="1:11" x14ac:dyDescent="0.2">
      <c r="A70" s="263" t="s">
        <v>151</v>
      </c>
      <c r="B70" s="52" t="s">
        <v>281</v>
      </c>
      <c r="C70" s="251" t="s">
        <v>282</v>
      </c>
      <c r="D70" s="252" t="s">
        <v>283</v>
      </c>
      <c r="E70" s="253" t="s">
        <v>95</v>
      </c>
      <c r="F70" s="253">
        <f>'Memória de cálculo'!K237</f>
        <v>13</v>
      </c>
      <c r="G70" s="239">
        <v>54.12</v>
      </c>
      <c r="H70" s="239">
        <f>ROUND(G70*(1+$I$8),2)</f>
        <v>67.47</v>
      </c>
      <c r="I70" s="239">
        <f>ROUND(F70*H70,2)</f>
        <v>877.11</v>
      </c>
    </row>
    <row r="71" spans="1:11" x14ac:dyDescent="0.2">
      <c r="A71" s="263" t="s">
        <v>152</v>
      </c>
      <c r="B71" s="236" t="s">
        <v>99</v>
      </c>
      <c r="C71" s="251" t="s">
        <v>357</v>
      </c>
      <c r="D71" s="252" t="s">
        <v>368</v>
      </c>
      <c r="E71" s="253" t="s">
        <v>95</v>
      </c>
      <c r="F71" s="253">
        <f>'Memória de cálculo'!K240</f>
        <v>19</v>
      </c>
      <c r="G71" s="239">
        <f>'Composição de custos'!H144</f>
        <v>53.86</v>
      </c>
      <c r="H71" s="239">
        <f>ROUND(G71*(1+$I$8),2)</f>
        <v>67.150000000000006</v>
      </c>
      <c r="I71" s="239">
        <f>ROUND(F71*H71,2)</f>
        <v>1275.8499999999999</v>
      </c>
      <c r="K71" s="4" t="s">
        <v>287</v>
      </c>
    </row>
    <row r="72" spans="1:11" x14ac:dyDescent="0.2">
      <c r="A72" s="263" t="s">
        <v>179</v>
      </c>
      <c r="B72" s="52" t="s">
        <v>281</v>
      </c>
      <c r="C72" s="251" t="s">
        <v>285</v>
      </c>
      <c r="D72" s="252" t="s">
        <v>284</v>
      </c>
      <c r="E72" s="253" t="s">
        <v>95</v>
      </c>
      <c r="F72" s="253">
        <f>'Memória de cálculo'!K243</f>
        <v>1</v>
      </c>
      <c r="G72" s="239">
        <v>60.86</v>
      </c>
      <c r="H72" s="239">
        <f>ROUND(G72*(1+$I$8),2)</f>
        <v>75.87</v>
      </c>
      <c r="I72" s="239">
        <f>ROUND(F72*H72,2)</f>
        <v>75.87</v>
      </c>
    </row>
    <row r="73" spans="1:11" ht="7.5" customHeight="1" x14ac:dyDescent="0.2">
      <c r="A73" s="250"/>
      <c r="B73" s="236"/>
      <c r="C73" s="251"/>
      <c r="D73" s="252"/>
      <c r="E73" s="253"/>
      <c r="F73" s="253"/>
      <c r="G73" s="239"/>
      <c r="H73" s="239"/>
      <c r="I73" s="239"/>
    </row>
    <row r="74" spans="1:11" x14ac:dyDescent="0.2">
      <c r="A74" s="247">
        <v>7</v>
      </c>
      <c r="B74" s="231"/>
      <c r="C74" s="231"/>
      <c r="D74" s="255" t="s">
        <v>388</v>
      </c>
      <c r="E74" s="247"/>
      <c r="F74" s="277"/>
      <c r="G74" s="248"/>
      <c r="H74" s="249"/>
      <c r="I74" s="234">
        <f>SUBTOTAL(9,I75:I84)</f>
        <v>97562.68</v>
      </c>
    </row>
    <row r="75" spans="1:11" ht="25.5" x14ac:dyDescent="0.2">
      <c r="A75" s="263" t="s">
        <v>337</v>
      </c>
      <c r="B75" s="236" t="s">
        <v>290</v>
      </c>
      <c r="C75" s="251" t="s">
        <v>291</v>
      </c>
      <c r="D75" s="252" t="s">
        <v>299</v>
      </c>
      <c r="E75" s="253" t="s">
        <v>95</v>
      </c>
      <c r="F75" s="253">
        <f>'Memória de cálculo'!K247</f>
        <v>10</v>
      </c>
      <c r="G75" s="239">
        <v>725.71</v>
      </c>
      <c r="H75" s="239">
        <f t="shared" ref="H75:H84" si="6">ROUND(G75*(1+$I$8),2)</f>
        <v>904.74</v>
      </c>
      <c r="I75" s="239">
        <f t="shared" ref="I75:I84" si="7">ROUND(F75*H75,2)</f>
        <v>9047.4</v>
      </c>
    </row>
    <row r="76" spans="1:11" ht="51" x14ac:dyDescent="0.2">
      <c r="A76" s="263" t="s">
        <v>338</v>
      </c>
      <c r="B76" s="236" t="s">
        <v>298</v>
      </c>
      <c r="C76" s="251" t="s">
        <v>297</v>
      </c>
      <c r="D76" s="252" t="s">
        <v>314</v>
      </c>
      <c r="E76" s="253" t="s">
        <v>95</v>
      </c>
      <c r="F76" s="253">
        <f>'Memória de cálculo'!K250</f>
        <v>24</v>
      </c>
      <c r="G76" s="239">
        <v>580.64</v>
      </c>
      <c r="H76" s="239">
        <f t="shared" si="6"/>
        <v>723.88</v>
      </c>
      <c r="I76" s="239">
        <f t="shared" si="7"/>
        <v>17373.12</v>
      </c>
    </row>
    <row r="77" spans="1:11" ht="25.5" x14ac:dyDescent="0.2">
      <c r="A77" s="263" t="s">
        <v>339</v>
      </c>
      <c r="B77" s="236" t="s">
        <v>289</v>
      </c>
      <c r="C77" s="251">
        <v>2411</v>
      </c>
      <c r="D77" s="252" t="s">
        <v>315</v>
      </c>
      <c r="E77" s="253" t="s">
        <v>95</v>
      </c>
      <c r="F77" s="253">
        <f>'Memória de cálculo'!K253</f>
        <v>23</v>
      </c>
      <c r="G77" s="239">
        <v>1100</v>
      </c>
      <c r="H77" s="239">
        <f t="shared" si="6"/>
        <v>1371.37</v>
      </c>
      <c r="I77" s="239">
        <f t="shared" si="7"/>
        <v>31541.51</v>
      </c>
    </row>
    <row r="78" spans="1:11" ht="51" x14ac:dyDescent="0.2">
      <c r="A78" s="263" t="s">
        <v>340</v>
      </c>
      <c r="B78" s="236" t="s">
        <v>287</v>
      </c>
      <c r="C78" s="251" t="s">
        <v>288</v>
      </c>
      <c r="D78" s="252" t="s">
        <v>286</v>
      </c>
      <c r="E78" s="253" t="s">
        <v>95</v>
      </c>
      <c r="F78" s="253">
        <f>'Memória de cálculo'!K256</f>
        <v>4</v>
      </c>
      <c r="G78" s="239">
        <v>1932.28</v>
      </c>
      <c r="H78" s="239">
        <f t="shared" si="6"/>
        <v>2408.9699999999998</v>
      </c>
      <c r="I78" s="239">
        <f t="shared" si="7"/>
        <v>9635.8799999999992</v>
      </c>
    </row>
    <row r="79" spans="1:11" ht="38.25" x14ac:dyDescent="0.2">
      <c r="A79" s="263" t="s">
        <v>341</v>
      </c>
      <c r="B79" s="236" t="s">
        <v>99</v>
      </c>
      <c r="C79" s="251" t="s">
        <v>123</v>
      </c>
      <c r="D79" s="252" t="s">
        <v>348</v>
      </c>
      <c r="E79" s="253" t="s">
        <v>95</v>
      </c>
      <c r="F79" s="253">
        <f>'Memória de cálculo'!K259</f>
        <v>6</v>
      </c>
      <c r="G79" s="239">
        <f>'Composição de custos'!H69</f>
        <v>224.27</v>
      </c>
      <c r="H79" s="239">
        <f t="shared" si="6"/>
        <v>279.60000000000002</v>
      </c>
      <c r="I79" s="239">
        <f t="shared" si="7"/>
        <v>1677.6</v>
      </c>
    </row>
    <row r="80" spans="1:11" ht="63.75" x14ac:dyDescent="0.2">
      <c r="A80" s="263" t="s">
        <v>342</v>
      </c>
      <c r="B80" s="236" t="s">
        <v>99</v>
      </c>
      <c r="C80" s="251" t="s">
        <v>124</v>
      </c>
      <c r="D80" s="252" t="s">
        <v>316</v>
      </c>
      <c r="E80" s="253" t="s">
        <v>95</v>
      </c>
      <c r="F80" s="253">
        <f>'Memória de cálculo'!K262</f>
        <v>1</v>
      </c>
      <c r="G80" s="239">
        <f>'Composição de custos'!H86</f>
        <v>4036.95</v>
      </c>
      <c r="H80" s="239">
        <f t="shared" si="6"/>
        <v>5032.87</v>
      </c>
      <c r="I80" s="239">
        <f t="shared" si="7"/>
        <v>5032.87</v>
      </c>
    </row>
    <row r="81" spans="1:9" ht="89.25" x14ac:dyDescent="0.2">
      <c r="A81" s="263" t="s">
        <v>343</v>
      </c>
      <c r="B81" s="236" t="s">
        <v>99</v>
      </c>
      <c r="C81" s="251" t="s">
        <v>125</v>
      </c>
      <c r="D81" s="252" t="s">
        <v>317</v>
      </c>
      <c r="E81" s="253" t="s">
        <v>95</v>
      </c>
      <c r="F81" s="253">
        <f>'Memória de cálculo'!K265</f>
        <v>1</v>
      </c>
      <c r="G81" s="239">
        <f>'Composição de custos'!H105</f>
        <v>5138.09</v>
      </c>
      <c r="H81" s="239">
        <f t="shared" si="6"/>
        <v>6405.66</v>
      </c>
      <c r="I81" s="239">
        <f t="shared" si="7"/>
        <v>6405.66</v>
      </c>
    </row>
    <row r="82" spans="1:9" ht="25.5" x14ac:dyDescent="0.2">
      <c r="A82" s="263" t="s">
        <v>344</v>
      </c>
      <c r="B82" s="236" t="s">
        <v>293</v>
      </c>
      <c r="C82" s="251">
        <v>18014041</v>
      </c>
      <c r="D82" s="252" t="s">
        <v>292</v>
      </c>
      <c r="E82" s="253" t="s">
        <v>95</v>
      </c>
      <c r="F82" s="253">
        <f>'Memória de cálculo'!K268</f>
        <v>1</v>
      </c>
      <c r="G82" s="239">
        <v>8454.15</v>
      </c>
      <c r="H82" s="239">
        <f t="shared" si="6"/>
        <v>10539.79</v>
      </c>
      <c r="I82" s="239">
        <f t="shared" si="7"/>
        <v>10539.79</v>
      </c>
    </row>
    <row r="83" spans="1:9" ht="63.75" x14ac:dyDescent="0.2">
      <c r="A83" s="263" t="s">
        <v>345</v>
      </c>
      <c r="B83" s="236" t="s">
        <v>99</v>
      </c>
      <c r="C83" s="251" t="s">
        <v>447</v>
      </c>
      <c r="D83" s="252" t="s">
        <v>380</v>
      </c>
      <c r="E83" s="253" t="s">
        <v>98</v>
      </c>
      <c r="F83" s="253">
        <f>'Memória de cálculo'!K271</f>
        <v>1</v>
      </c>
      <c r="G83" s="239">
        <f>'Composição de custos'!H119</f>
        <v>3486.76</v>
      </c>
      <c r="H83" s="239">
        <f t="shared" si="6"/>
        <v>4346.9399999999996</v>
      </c>
      <c r="I83" s="239">
        <f t="shared" si="7"/>
        <v>4346.9399999999996</v>
      </c>
    </row>
    <row r="84" spans="1:9" ht="78.75" customHeight="1" x14ac:dyDescent="0.2">
      <c r="A84" s="263" t="s">
        <v>346</v>
      </c>
      <c r="B84" s="236" t="s">
        <v>99</v>
      </c>
      <c r="C84" s="251" t="s">
        <v>347</v>
      </c>
      <c r="D84" s="252" t="s">
        <v>363</v>
      </c>
      <c r="E84" s="253" t="s">
        <v>95</v>
      </c>
      <c r="F84" s="253">
        <f>'Memória de cálculo'!K275</f>
        <v>1</v>
      </c>
      <c r="G84" s="239">
        <f>'Composição de custos'!H140</f>
        <v>1573.68</v>
      </c>
      <c r="H84" s="239">
        <f t="shared" si="6"/>
        <v>1961.91</v>
      </c>
      <c r="I84" s="239">
        <f t="shared" si="7"/>
        <v>1961.91</v>
      </c>
    </row>
    <row r="85" spans="1:9" x14ac:dyDescent="0.2">
      <c r="A85" s="250"/>
      <c r="B85" s="236"/>
      <c r="C85" s="251"/>
      <c r="D85" s="252"/>
      <c r="E85" s="253"/>
      <c r="F85" s="253"/>
      <c r="G85" s="239"/>
      <c r="H85" s="239"/>
      <c r="I85" s="239"/>
    </row>
    <row r="86" spans="1:9" x14ac:dyDescent="0.2">
      <c r="A86" s="247">
        <v>8</v>
      </c>
      <c r="B86" s="231"/>
      <c r="C86" s="231"/>
      <c r="D86" s="255" t="s">
        <v>395</v>
      </c>
      <c r="E86" s="247"/>
      <c r="F86" s="277"/>
      <c r="G86" s="248"/>
      <c r="H86" s="249"/>
      <c r="I86" s="234">
        <f>SUBTOTAL(9,I87:I92)</f>
        <v>18279.62</v>
      </c>
    </row>
    <row r="87" spans="1:9" ht="25.5" x14ac:dyDescent="0.2">
      <c r="A87" s="250" t="s">
        <v>391</v>
      </c>
      <c r="B87" s="236" t="s">
        <v>156</v>
      </c>
      <c r="C87" s="251" t="s">
        <v>154</v>
      </c>
      <c r="D87" s="252" t="s">
        <v>153</v>
      </c>
      <c r="E87" s="253" t="s">
        <v>76</v>
      </c>
      <c r="F87" s="253">
        <f>'Memória de cálculo'!K285</f>
        <v>28.99</v>
      </c>
      <c r="G87" s="239">
        <v>77.290000000000006</v>
      </c>
      <c r="H87" s="239">
        <f t="shared" ref="H87:H92" si="8">ROUND(G87*(1+$I$8),2)</f>
        <v>96.36</v>
      </c>
      <c r="I87" s="239">
        <f t="shared" ref="I87:I92" si="9">ROUND(F87*H87,2)</f>
        <v>2793.48</v>
      </c>
    </row>
    <row r="88" spans="1:9" ht="38.25" x14ac:dyDescent="0.2">
      <c r="A88" s="250" t="s">
        <v>392</v>
      </c>
      <c r="B88" s="236" t="s">
        <v>204</v>
      </c>
      <c r="C88" s="251">
        <v>102713</v>
      </c>
      <c r="D88" s="252" t="s">
        <v>404</v>
      </c>
      <c r="E88" s="253" t="s">
        <v>6</v>
      </c>
      <c r="F88" s="253">
        <f>'Memória de cálculo'!K293</f>
        <v>119.74</v>
      </c>
      <c r="G88" s="239">
        <v>11.35</v>
      </c>
      <c r="H88" s="239">
        <f t="shared" si="8"/>
        <v>14.15</v>
      </c>
      <c r="I88" s="239">
        <f t="shared" si="9"/>
        <v>1694.32</v>
      </c>
    </row>
    <row r="89" spans="1:9" ht="25.5" x14ac:dyDescent="0.2">
      <c r="A89" s="250" t="s">
        <v>393</v>
      </c>
      <c r="B89" s="236" t="s">
        <v>156</v>
      </c>
      <c r="C89" s="251" t="s">
        <v>403</v>
      </c>
      <c r="D89" s="252" t="s">
        <v>402</v>
      </c>
      <c r="E89" s="253" t="s">
        <v>76</v>
      </c>
      <c r="F89" s="253">
        <f>'Memória de cálculo'!K301</f>
        <v>28.99</v>
      </c>
      <c r="G89" s="239">
        <v>263.57</v>
      </c>
      <c r="H89" s="239">
        <f t="shared" si="8"/>
        <v>328.59</v>
      </c>
      <c r="I89" s="239">
        <f t="shared" si="9"/>
        <v>9525.82</v>
      </c>
    </row>
    <row r="90" spans="1:9" ht="38.25" x14ac:dyDescent="0.2">
      <c r="A90" s="250" t="s">
        <v>394</v>
      </c>
      <c r="B90" s="236" t="s">
        <v>204</v>
      </c>
      <c r="C90" s="251">
        <v>102666</v>
      </c>
      <c r="D90" s="252" t="s">
        <v>406</v>
      </c>
      <c r="E90" s="253" t="s">
        <v>98</v>
      </c>
      <c r="F90" s="253">
        <f>'Memória de cálculo'!K306</f>
        <v>13.85</v>
      </c>
      <c r="G90" s="239">
        <v>63.3</v>
      </c>
      <c r="H90" s="239">
        <f t="shared" si="8"/>
        <v>78.92</v>
      </c>
      <c r="I90" s="239">
        <f t="shared" si="9"/>
        <v>1093.04</v>
      </c>
    </row>
    <row r="91" spans="1:9" ht="63.75" x14ac:dyDescent="0.2">
      <c r="A91" s="250" t="s">
        <v>454</v>
      </c>
      <c r="B91" s="236" t="s">
        <v>156</v>
      </c>
      <c r="C91" s="251" t="s">
        <v>411</v>
      </c>
      <c r="D91" s="252" t="s">
        <v>409</v>
      </c>
      <c r="E91" s="253" t="s">
        <v>410</v>
      </c>
      <c r="F91" s="253">
        <f>'Memória de cálculo'!K309</f>
        <v>2</v>
      </c>
      <c r="G91" s="239">
        <v>503.64</v>
      </c>
      <c r="H91" s="239">
        <f t="shared" si="8"/>
        <v>627.89</v>
      </c>
      <c r="I91" s="239">
        <f t="shared" si="9"/>
        <v>1255.78</v>
      </c>
    </row>
    <row r="92" spans="1:9" ht="89.25" x14ac:dyDescent="0.2">
      <c r="A92" s="250" t="s">
        <v>405</v>
      </c>
      <c r="B92" s="236" t="s">
        <v>156</v>
      </c>
      <c r="C92" s="251" t="s">
        <v>408</v>
      </c>
      <c r="D92" s="252" t="s">
        <v>407</v>
      </c>
      <c r="E92" s="253" t="s">
        <v>98</v>
      </c>
      <c r="F92" s="253">
        <f>'Memória de cálculo'!K314</f>
        <v>3.85</v>
      </c>
      <c r="G92" s="239">
        <v>399.43</v>
      </c>
      <c r="H92" s="239">
        <f t="shared" si="8"/>
        <v>497.97</v>
      </c>
      <c r="I92" s="239">
        <f t="shared" si="9"/>
        <v>1917.18</v>
      </c>
    </row>
    <row r="93" spans="1:9" ht="6.75" customHeight="1" x14ac:dyDescent="0.2">
      <c r="A93" s="240"/>
      <c r="B93" s="241"/>
      <c r="C93" s="241"/>
      <c r="D93" s="242"/>
      <c r="E93" s="240"/>
      <c r="F93" s="243"/>
      <c r="G93" s="244"/>
      <c r="H93" s="267"/>
      <c r="I93" s="262"/>
    </row>
    <row r="94" spans="1:9" ht="17.25" customHeight="1" x14ac:dyDescent="0.2">
      <c r="A94" s="308" t="s">
        <v>438</v>
      </c>
      <c r="B94" s="309"/>
      <c r="C94" s="309"/>
      <c r="D94" s="309"/>
      <c r="E94" s="309"/>
      <c r="F94" s="309"/>
      <c r="G94" s="309"/>
      <c r="H94" s="310"/>
      <c r="I94" s="280">
        <f>I11+I14+I17+I23+I47+I68+I74+I86</f>
        <v>647371.97</v>
      </c>
    </row>
    <row r="95" spans="1:9" ht="36.75" customHeight="1" x14ac:dyDescent="0.25">
      <c r="A95" s="85"/>
      <c r="B95" s="85"/>
      <c r="C95" s="85"/>
      <c r="D95" s="85"/>
      <c r="E95" s="85"/>
      <c r="F95" s="85"/>
      <c r="G95" s="85"/>
      <c r="H95" s="85"/>
      <c r="I95" s="85" t="s">
        <v>67</v>
      </c>
    </row>
    <row r="96" spans="1:9" ht="39.75" customHeight="1" x14ac:dyDescent="0.25">
      <c r="A96" s="85"/>
      <c r="B96" s="307"/>
      <c r="C96" s="307"/>
      <c r="D96" s="307"/>
      <c r="E96" s="114"/>
      <c r="F96" s="75"/>
      <c r="G96" s="313" t="s">
        <v>436</v>
      </c>
      <c r="H96" s="313"/>
      <c r="I96" s="85"/>
    </row>
    <row r="97" spans="1:9" ht="16.5" x14ac:dyDescent="0.2">
      <c r="A97" s="75"/>
      <c r="B97" s="305" t="s">
        <v>435</v>
      </c>
      <c r="C97" s="305"/>
      <c r="D97" s="305"/>
      <c r="E97" s="114"/>
      <c r="F97" s="75"/>
      <c r="G97" s="305" t="s">
        <v>120</v>
      </c>
      <c r="H97" s="305"/>
      <c r="I97" s="75"/>
    </row>
    <row r="98" spans="1:9" ht="19.5" customHeight="1" x14ac:dyDescent="0.2">
      <c r="A98" s="86"/>
      <c r="B98" s="306"/>
      <c r="C98" s="306"/>
      <c r="D98" s="306"/>
      <c r="E98" s="315"/>
      <c r="F98" s="315"/>
      <c r="G98" s="115"/>
      <c r="H98" s="75"/>
      <c r="I98" s="86"/>
    </row>
    <row r="99" spans="1:9" ht="16.5" customHeight="1" x14ac:dyDescent="0.2">
      <c r="A99" s="86"/>
      <c r="B99" s="312"/>
      <c r="C99" s="312"/>
      <c r="D99" s="312"/>
      <c r="E99" s="114"/>
      <c r="F99" s="114"/>
      <c r="G99" s="114"/>
      <c r="H99" s="75"/>
      <c r="I99" s="86"/>
    </row>
    <row r="100" spans="1:9" ht="12.75" customHeight="1" x14ac:dyDescent="0.2">
      <c r="A100" s="86"/>
      <c r="B100" s="314"/>
      <c r="C100" s="314"/>
      <c r="D100" s="314"/>
      <c r="E100" s="114"/>
      <c r="F100" s="114"/>
      <c r="G100" s="114"/>
      <c r="H100" s="75"/>
      <c r="I100" s="86"/>
    </row>
    <row r="101" spans="1:9" ht="16.5" customHeight="1" x14ac:dyDescent="0.2">
      <c r="A101" s="86"/>
      <c r="B101" s="311"/>
      <c r="C101" s="311"/>
      <c r="D101" s="311"/>
      <c r="E101" s="114"/>
      <c r="F101" s="114"/>
      <c r="G101" s="114"/>
      <c r="H101" s="75"/>
      <c r="I101" s="86"/>
    </row>
    <row r="102" spans="1:9" x14ac:dyDescent="0.2">
      <c r="A102" s="86"/>
      <c r="B102" s="86"/>
      <c r="C102" s="86"/>
      <c r="D102" s="86"/>
      <c r="E102" s="86"/>
      <c r="F102" s="86"/>
      <c r="G102" s="86"/>
      <c r="H102" s="86"/>
      <c r="I102" s="86"/>
    </row>
  </sheetData>
  <mergeCells count="22">
    <mergeCell ref="J1:O1"/>
    <mergeCell ref="A5:G5"/>
    <mergeCell ref="G11:H11"/>
    <mergeCell ref="A6:E6"/>
    <mergeCell ref="F6:I6"/>
    <mergeCell ref="A9:I9"/>
    <mergeCell ref="A2:I2"/>
    <mergeCell ref="A8:E8"/>
    <mergeCell ref="A3:I3"/>
    <mergeCell ref="A4:I4"/>
    <mergeCell ref="A7:E7"/>
    <mergeCell ref="B10:C10"/>
    <mergeCell ref="B97:D97"/>
    <mergeCell ref="B98:D98"/>
    <mergeCell ref="B96:D96"/>
    <mergeCell ref="A94:H94"/>
    <mergeCell ref="B101:D101"/>
    <mergeCell ref="B99:D99"/>
    <mergeCell ref="G96:H96"/>
    <mergeCell ref="G97:H97"/>
    <mergeCell ref="B100:D100"/>
    <mergeCell ref="E98:F98"/>
  </mergeCells>
  <phoneticPr fontId="4" type="noConversion"/>
  <printOptions horizontalCentered="1"/>
  <pageMargins left="0.9055118110236221" right="0.59055118110236227" top="0.78740157480314965" bottom="0.59055118110236227" header="0.31496062992125984" footer="0.31496062992125984"/>
  <pageSetup paperSize="9" scale="63" fitToHeight="0" orientation="portrait" horizontalDpi="300" verticalDpi="300" r:id="rId1"/>
  <headerFooter>
    <oddFooter>&amp;C&amp;P/&amp;N</oddFooter>
  </headerFooter>
  <rowBreaks count="2" manualBreakCount="2">
    <brk id="39" max="8" man="1"/>
    <brk id="76"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pageSetUpPr fitToPage="1"/>
  </sheetPr>
  <dimension ref="A1:P367"/>
  <sheetViews>
    <sheetView view="pageBreakPreview" topLeftCell="A283" zoomScaleSheetLayoutView="100" workbookViewId="0">
      <selection activeCell="A308" sqref="A308"/>
    </sheetView>
  </sheetViews>
  <sheetFormatPr defaultRowHeight="12.75" x14ac:dyDescent="0.2"/>
  <cols>
    <col min="1" max="1" width="4.85546875" customWidth="1"/>
    <col min="2" max="2" width="10.85546875" customWidth="1"/>
    <col min="3" max="3" width="8.5703125" customWidth="1"/>
    <col min="4" max="4" width="23.42578125" customWidth="1"/>
    <col min="5" max="5" width="10.5703125" customWidth="1"/>
    <col min="6" max="6" width="2.85546875" customWidth="1"/>
    <col min="7" max="7" width="11.28515625" customWidth="1"/>
    <col min="8" max="8" width="3.140625" customWidth="1"/>
    <col min="9" max="9" width="10.7109375" customWidth="1"/>
    <col min="10" max="10" width="3.42578125" customWidth="1"/>
    <col min="11" max="11" width="9.5703125" customWidth="1"/>
    <col min="12" max="12" width="9.140625" customWidth="1"/>
  </cols>
  <sheetData>
    <row r="1" spans="1:11" ht="65.25" customHeight="1" x14ac:dyDescent="0.2">
      <c r="A1" s="340"/>
      <c r="B1" s="341"/>
      <c r="C1" s="341"/>
      <c r="D1" s="341"/>
      <c r="E1" s="341"/>
      <c r="F1" s="341"/>
      <c r="G1" s="341"/>
      <c r="H1" s="341"/>
      <c r="I1" s="341"/>
      <c r="J1" s="341"/>
      <c r="K1" s="342"/>
    </row>
    <row r="2" spans="1:11" ht="5.25" customHeight="1" x14ac:dyDescent="0.2">
      <c r="A2" s="345"/>
      <c r="B2" s="345"/>
      <c r="C2" s="345"/>
      <c r="D2" s="345"/>
      <c r="E2" s="345"/>
      <c r="F2" s="345"/>
      <c r="G2" s="345"/>
      <c r="H2" s="345"/>
      <c r="I2" s="345"/>
      <c r="J2" s="345"/>
      <c r="K2" s="345"/>
    </row>
    <row r="3" spans="1:11" ht="20.100000000000001" customHeight="1" x14ac:dyDescent="0.2">
      <c r="A3" s="344" t="s">
        <v>66</v>
      </c>
      <c r="B3" s="344"/>
      <c r="C3" s="344"/>
      <c r="D3" s="344"/>
      <c r="E3" s="344"/>
      <c r="F3" s="344"/>
      <c r="G3" s="344"/>
      <c r="H3" s="344"/>
      <c r="I3" s="344"/>
      <c r="J3" s="344"/>
      <c r="K3" s="344"/>
    </row>
    <row r="4" spans="1:11" ht="3.75" customHeight="1" x14ac:dyDescent="0.2">
      <c r="A4" s="345"/>
      <c r="B4" s="345"/>
      <c r="C4" s="345"/>
      <c r="D4" s="345"/>
      <c r="E4" s="345"/>
      <c r="F4" s="345"/>
      <c r="G4" s="345"/>
      <c r="H4" s="345"/>
      <c r="I4" s="345"/>
      <c r="J4" s="345"/>
      <c r="K4" s="345"/>
    </row>
    <row r="5" spans="1:11" ht="13.5" x14ac:dyDescent="0.2">
      <c r="A5" s="346" t="str">
        <f>Planilha!A5:F5</f>
        <v>OBRA: PROJETO DO ESPAÇO DE LAZER E ESTACIONAMENTO NO PARQUE DO AREÃO</v>
      </c>
      <c r="B5" s="346"/>
      <c r="C5" s="346"/>
      <c r="D5" s="346"/>
      <c r="E5" s="346"/>
      <c r="F5" s="346"/>
      <c r="G5" s="346"/>
      <c r="H5" s="347" t="str">
        <f>Planilha!H5</f>
        <v>DATA:</v>
      </c>
      <c r="I5" s="348"/>
      <c r="J5" s="349" t="str">
        <f>Planilha!I5</f>
        <v>23/09/2025</v>
      </c>
      <c r="K5" s="350"/>
    </row>
    <row r="6" spans="1:11" ht="13.5" x14ac:dyDescent="0.2">
      <c r="A6" s="360" t="str">
        <f>Planilha!A6:E6</f>
        <v>LOCAL: RUA ANTÔNIO LOUREIRO SOBRINHO, S/Nº - B. LUCÍLIA, JOÃO MONLEVADE</v>
      </c>
      <c r="B6" s="360"/>
      <c r="C6" s="360"/>
      <c r="D6" s="360"/>
      <c r="E6" s="360"/>
      <c r="F6" s="360"/>
      <c r="G6" s="360"/>
      <c r="H6" s="360"/>
      <c r="I6" s="360"/>
      <c r="J6" s="360"/>
      <c r="K6" s="360"/>
    </row>
    <row r="7" spans="1:11" ht="27" customHeight="1" x14ac:dyDescent="0.2">
      <c r="A7" s="346" t="str">
        <f>Planilha!A7:E7</f>
        <v>REGIÃO/MÊS DE REFERÊNCIA: SEINFRA-CE 10/2023 - EDUCAÇÃO-SP, EMOP, ORSE, SICRO, SUDECAP, SICOR MG CENTRAL 04/2025 - SIURB 01/2025 - CDHU/OBRAS-SP, SINAPI 05/2025 -  NÃO DESONERADA</v>
      </c>
      <c r="B7" s="346"/>
      <c r="C7" s="346"/>
      <c r="D7" s="346"/>
      <c r="E7" s="346"/>
      <c r="F7" s="346"/>
      <c r="G7" s="346"/>
      <c r="H7" s="346"/>
      <c r="I7" s="346"/>
      <c r="J7" s="346"/>
      <c r="K7" s="346"/>
    </row>
    <row r="8" spans="1:11" ht="13.5" x14ac:dyDescent="0.2">
      <c r="A8" s="346" t="str">
        <f>Planilha!A8:E8</f>
        <v>PRAZO DE EXECUÇÃO: 4 MESES</v>
      </c>
      <c r="B8" s="346"/>
      <c r="C8" s="346"/>
      <c r="D8" s="346"/>
      <c r="E8" s="346"/>
      <c r="F8" s="346"/>
      <c r="G8" s="346"/>
      <c r="H8" s="346"/>
      <c r="I8" s="346"/>
      <c r="J8" s="346"/>
      <c r="K8" s="346"/>
    </row>
    <row r="9" spans="1:11" ht="6" customHeight="1" x14ac:dyDescent="0.2">
      <c r="A9" s="364"/>
      <c r="B9" s="364"/>
      <c r="C9" s="364"/>
      <c r="D9" s="364"/>
      <c r="E9" s="364"/>
      <c r="F9" s="364"/>
      <c r="G9" s="364"/>
      <c r="H9" s="364"/>
      <c r="I9" s="364"/>
      <c r="J9" s="364"/>
      <c r="K9" s="364"/>
    </row>
    <row r="10" spans="1:11" x14ac:dyDescent="0.2">
      <c r="A10" s="12" t="s">
        <v>0</v>
      </c>
      <c r="B10" s="343" t="s">
        <v>2</v>
      </c>
      <c r="C10" s="343"/>
      <c r="D10" s="343" t="s">
        <v>1</v>
      </c>
      <c r="E10" s="343"/>
      <c r="F10" s="343"/>
      <c r="G10" s="343"/>
      <c r="H10" s="343"/>
      <c r="I10" s="343"/>
      <c r="J10" s="343"/>
      <c r="K10" s="12" t="s">
        <v>95</v>
      </c>
    </row>
    <row r="11" spans="1:11" ht="5.25" customHeight="1" x14ac:dyDescent="0.2">
      <c r="A11" s="358"/>
      <c r="B11" s="358"/>
      <c r="C11" s="358"/>
      <c r="D11" s="358"/>
      <c r="E11" s="358"/>
      <c r="F11" s="358"/>
      <c r="G11" s="358"/>
      <c r="H11" s="358"/>
      <c r="I11" s="358"/>
      <c r="J11" s="358"/>
      <c r="K11" s="358"/>
    </row>
    <row r="12" spans="1:11" ht="9" customHeight="1" x14ac:dyDescent="0.2">
      <c r="A12" s="365"/>
      <c r="B12" s="366"/>
      <c r="C12" s="366"/>
      <c r="D12" s="366"/>
      <c r="E12" s="366"/>
      <c r="F12" s="366"/>
      <c r="G12" s="366"/>
      <c r="H12" s="366"/>
      <c r="I12" s="366"/>
      <c r="J12" s="366"/>
      <c r="K12" s="367"/>
    </row>
    <row r="13" spans="1:11" x14ac:dyDescent="0.2">
      <c r="A13" s="54">
        <f>Planilha!A23</f>
        <v>4</v>
      </c>
      <c r="B13" s="19"/>
      <c r="C13" s="13"/>
      <c r="D13" s="333" t="str">
        <f>Planilha!D23</f>
        <v>MOVIMENTAÇÕES DE TERRA, CONTENÇÕES, DEMOLIÇÕES, DRENAGEM E PASSEIO</v>
      </c>
      <c r="E13" s="333"/>
      <c r="F13" s="333"/>
      <c r="G13" s="333"/>
      <c r="H13" s="333"/>
      <c r="I13" s="333"/>
      <c r="J13" s="333"/>
      <c r="K13" s="14"/>
    </row>
    <row r="14" spans="1:11" ht="25.5" x14ac:dyDescent="0.2">
      <c r="A14" s="49" t="str">
        <f>Planilha!A24</f>
        <v>4.1</v>
      </c>
      <c r="B14" s="51"/>
      <c r="C14" s="51"/>
      <c r="D14" s="50" t="str">
        <f>Planilha!D24</f>
        <v>MOVIMENTAÇÃO DE TERRA E LIMPEZA DO TERRENO</v>
      </c>
      <c r="E14" s="49"/>
      <c r="F14" s="49"/>
      <c r="G14" s="49"/>
      <c r="H14" s="49"/>
      <c r="I14" s="49"/>
      <c r="J14" s="49"/>
      <c r="K14" s="49"/>
    </row>
    <row r="15" spans="1:11" ht="54" customHeight="1" x14ac:dyDescent="0.2">
      <c r="A15" s="108" t="str">
        <f>Planilha!A25</f>
        <v>4.1.1</v>
      </c>
      <c r="B15" s="108" t="str">
        <f>Planilha!B25</f>
        <v>SINAPI</v>
      </c>
      <c r="C15" s="108">
        <f>Planilha!C25</f>
        <v>101235</v>
      </c>
      <c r="D15" s="368" t="str">
        <f>Planilha!D25</f>
        <v>ESCAVAÇÃO VERTICAL PARA INFRAESTRUTURA, COM CARGA, DESCARGA E TRANSPORTE DE SOLO DE 1ª CATEGORIA, COM ESCAVADEIRA HIDRÁULICA (CAÇAMBA: 0,8 M³ / 111HP), FROTA DE 5 CAMINHÕES BASCULANTES DE 14 M³, DMT DE 2 KM E VELOCIDADE MÉDIA 19 KM/H. AF_05/2020 - BOTA FORA DO MATERIAL</v>
      </c>
      <c r="E15" s="368"/>
      <c r="F15" s="368"/>
      <c r="G15" s="368"/>
      <c r="H15" s="368"/>
      <c r="I15" s="368"/>
      <c r="J15" s="368"/>
      <c r="K15" s="7" t="str">
        <f>Planilha!E25</f>
        <v>M3</v>
      </c>
    </row>
    <row r="16" spans="1:11" ht="12.75" customHeight="1" x14ac:dyDescent="0.2">
      <c r="A16" s="106"/>
      <c r="B16" s="107"/>
      <c r="C16" s="8"/>
      <c r="D16" s="103"/>
      <c r="E16" s="103"/>
      <c r="F16" s="103"/>
      <c r="G16" s="103" t="s">
        <v>86</v>
      </c>
      <c r="H16" s="103"/>
      <c r="I16" s="103" t="s">
        <v>183</v>
      </c>
      <c r="J16" s="103"/>
      <c r="K16" s="7"/>
    </row>
    <row r="17" spans="1:11" ht="12.75" customHeight="1" x14ac:dyDescent="0.25">
      <c r="A17" s="106"/>
      <c r="B17" s="107"/>
      <c r="C17" s="8"/>
      <c r="D17" s="207" t="s">
        <v>184</v>
      </c>
      <c r="E17" s="7" t="s">
        <v>185</v>
      </c>
      <c r="F17" s="103" t="s">
        <v>213</v>
      </c>
      <c r="G17" s="103">
        <v>1245.44</v>
      </c>
      <c r="H17" s="120" t="s">
        <v>212</v>
      </c>
      <c r="I17" s="103">
        <v>0.15</v>
      </c>
      <c r="J17" s="104" t="s">
        <v>52</v>
      </c>
      <c r="K17" s="7">
        <f>ROUND(((G17)/2)*I17,2)</f>
        <v>93.41</v>
      </c>
    </row>
    <row r="18" spans="1:11" ht="12.75" customHeight="1" x14ac:dyDescent="0.25">
      <c r="A18" s="106"/>
      <c r="B18" s="107"/>
      <c r="C18" s="8"/>
      <c r="D18" s="207" t="s">
        <v>184</v>
      </c>
      <c r="E18" s="7" t="s">
        <v>186</v>
      </c>
      <c r="F18" s="103" t="s">
        <v>213</v>
      </c>
      <c r="G18" s="103">
        <v>205.49</v>
      </c>
      <c r="H18" s="120" t="s">
        <v>212</v>
      </c>
      <c r="I18" s="103">
        <v>0.15</v>
      </c>
      <c r="J18" s="104" t="s">
        <v>52</v>
      </c>
      <c r="K18" s="7">
        <f t="shared" ref="K18:K23" si="0">ROUND(((G18)/2)*I18,2)</f>
        <v>15.41</v>
      </c>
    </row>
    <row r="19" spans="1:11" ht="12.75" customHeight="1" x14ac:dyDescent="0.25">
      <c r="A19" s="106"/>
      <c r="B19" s="107"/>
      <c r="C19" s="8"/>
      <c r="D19" s="207" t="s">
        <v>197</v>
      </c>
      <c r="E19" s="7" t="s">
        <v>187</v>
      </c>
      <c r="F19" s="103" t="s">
        <v>213</v>
      </c>
      <c r="G19" s="103">
        <v>296.3</v>
      </c>
      <c r="H19" s="120" t="s">
        <v>212</v>
      </c>
      <c r="I19" s="103">
        <v>0.15</v>
      </c>
      <c r="J19" s="104" t="s">
        <v>52</v>
      </c>
      <c r="K19" s="7">
        <f t="shared" si="0"/>
        <v>22.22</v>
      </c>
    </row>
    <row r="20" spans="1:11" ht="12.75" customHeight="1" x14ac:dyDescent="0.25">
      <c r="A20" s="106"/>
      <c r="B20" s="107"/>
      <c r="C20" s="8"/>
      <c r="D20" s="207" t="s">
        <v>197</v>
      </c>
      <c r="E20" s="7" t="s">
        <v>188</v>
      </c>
      <c r="F20" s="103" t="s">
        <v>213</v>
      </c>
      <c r="G20" s="103">
        <v>16.98</v>
      </c>
      <c r="H20" s="120" t="s">
        <v>212</v>
      </c>
      <c r="I20" s="103">
        <v>0.15</v>
      </c>
      <c r="J20" s="104" t="s">
        <v>52</v>
      </c>
      <c r="K20" s="7">
        <f t="shared" si="0"/>
        <v>1.27</v>
      </c>
    </row>
    <row r="21" spans="1:11" ht="12.75" customHeight="1" x14ac:dyDescent="0.25">
      <c r="A21" s="106"/>
      <c r="B21" s="107"/>
      <c r="C21" s="8"/>
      <c r="D21" s="207" t="s">
        <v>197</v>
      </c>
      <c r="E21" s="7" t="s">
        <v>189</v>
      </c>
      <c r="F21" s="103" t="s">
        <v>213</v>
      </c>
      <c r="G21" s="103">
        <v>103.48</v>
      </c>
      <c r="H21" s="120" t="s">
        <v>212</v>
      </c>
      <c r="I21" s="103">
        <v>0.15</v>
      </c>
      <c r="J21" s="104" t="s">
        <v>52</v>
      </c>
      <c r="K21" s="7">
        <f t="shared" si="0"/>
        <v>7.76</v>
      </c>
    </row>
    <row r="22" spans="1:11" ht="12.75" customHeight="1" x14ac:dyDescent="0.25">
      <c r="A22" s="106"/>
      <c r="B22" s="107"/>
      <c r="C22" s="8"/>
      <c r="D22" s="207" t="s">
        <v>197</v>
      </c>
      <c r="E22" s="7" t="s">
        <v>190</v>
      </c>
      <c r="F22" s="103" t="s">
        <v>213</v>
      </c>
      <c r="G22" s="103">
        <v>165.12</v>
      </c>
      <c r="H22" s="120" t="s">
        <v>212</v>
      </c>
      <c r="I22" s="103">
        <v>0.15</v>
      </c>
      <c r="J22" s="104" t="s">
        <v>52</v>
      </c>
      <c r="K22" s="7">
        <f t="shared" si="0"/>
        <v>12.38</v>
      </c>
    </row>
    <row r="23" spans="1:11" ht="12.75" customHeight="1" x14ac:dyDescent="0.25">
      <c r="A23" s="106"/>
      <c r="B23" s="107"/>
      <c r="C23" s="8"/>
      <c r="D23" s="207" t="s">
        <v>199</v>
      </c>
      <c r="E23" s="7" t="s">
        <v>196</v>
      </c>
      <c r="F23" s="103" t="s">
        <v>213</v>
      </c>
      <c r="G23" s="103">
        <v>130.61000000000001</v>
      </c>
      <c r="H23" s="120" t="s">
        <v>212</v>
      </c>
      <c r="I23" s="103">
        <v>0.15</v>
      </c>
      <c r="J23" s="104" t="s">
        <v>52</v>
      </c>
      <c r="K23" s="7">
        <f t="shared" si="0"/>
        <v>9.8000000000000007</v>
      </c>
    </row>
    <row r="24" spans="1:11" ht="12.75" customHeight="1" x14ac:dyDescent="0.25">
      <c r="A24" s="106"/>
      <c r="B24" s="107"/>
      <c r="C24" s="8"/>
      <c r="D24" s="103" t="s">
        <v>245</v>
      </c>
      <c r="E24" s="103"/>
      <c r="F24" s="103"/>
      <c r="G24" s="103">
        <f t="shared" ref="G24:G29" si="1">0.6*1/2</f>
        <v>0.3</v>
      </c>
      <c r="H24" s="103" t="s">
        <v>51</v>
      </c>
      <c r="I24" s="103">
        <v>14</v>
      </c>
      <c r="J24" s="104" t="s">
        <v>52</v>
      </c>
      <c r="K24" s="7">
        <f t="shared" ref="K24:K29" si="2">G24*I24</f>
        <v>4.2</v>
      </c>
    </row>
    <row r="25" spans="1:11" ht="12.75" customHeight="1" x14ac:dyDescent="0.25">
      <c r="A25" s="106"/>
      <c r="B25" s="107"/>
      <c r="C25" s="8"/>
      <c r="D25" s="103"/>
      <c r="E25" s="103"/>
      <c r="F25" s="103"/>
      <c r="G25" s="103">
        <f t="shared" si="1"/>
        <v>0.3</v>
      </c>
      <c r="H25" s="103" t="s">
        <v>51</v>
      </c>
      <c r="I25" s="103">
        <v>13.83</v>
      </c>
      <c r="J25" s="104" t="s">
        <v>52</v>
      </c>
      <c r="K25" s="7">
        <f t="shared" si="2"/>
        <v>4.1500000000000004</v>
      </c>
    </row>
    <row r="26" spans="1:11" ht="12.75" customHeight="1" x14ac:dyDescent="0.25">
      <c r="A26" s="106"/>
      <c r="B26" s="107"/>
      <c r="C26" s="8"/>
      <c r="D26" s="103"/>
      <c r="E26" s="103"/>
      <c r="F26" s="103"/>
      <c r="G26" s="103">
        <f t="shared" si="1"/>
        <v>0.3</v>
      </c>
      <c r="H26" s="103" t="s">
        <v>51</v>
      </c>
      <c r="I26" s="103">
        <v>7.48</v>
      </c>
      <c r="J26" s="104" t="s">
        <v>52</v>
      </c>
      <c r="K26" s="7">
        <f t="shared" si="2"/>
        <v>2.2400000000000002</v>
      </c>
    </row>
    <row r="27" spans="1:11" ht="12.75" customHeight="1" x14ac:dyDescent="0.25">
      <c r="A27" s="106"/>
      <c r="B27" s="107"/>
      <c r="C27" s="8"/>
      <c r="D27" s="103"/>
      <c r="E27" s="103"/>
      <c r="F27" s="103"/>
      <c r="G27" s="103">
        <f t="shared" si="1"/>
        <v>0.3</v>
      </c>
      <c r="H27" s="103" t="s">
        <v>51</v>
      </c>
      <c r="I27" s="103">
        <v>21.75</v>
      </c>
      <c r="J27" s="104" t="s">
        <v>52</v>
      </c>
      <c r="K27" s="7">
        <f t="shared" si="2"/>
        <v>6.53</v>
      </c>
    </row>
    <row r="28" spans="1:11" ht="12.75" customHeight="1" x14ac:dyDescent="0.25">
      <c r="A28" s="106"/>
      <c r="B28" s="107"/>
      <c r="C28" s="8"/>
      <c r="D28" s="103"/>
      <c r="E28" s="103"/>
      <c r="F28" s="103"/>
      <c r="G28" s="103">
        <f t="shared" si="1"/>
        <v>0.3</v>
      </c>
      <c r="H28" s="103" t="s">
        <v>51</v>
      </c>
      <c r="I28" s="103">
        <v>28.39</v>
      </c>
      <c r="J28" s="104" t="s">
        <v>52</v>
      </c>
      <c r="K28" s="7">
        <f t="shared" si="2"/>
        <v>8.52</v>
      </c>
    </row>
    <row r="29" spans="1:11" ht="12.75" customHeight="1" x14ac:dyDescent="0.25">
      <c r="A29" s="106"/>
      <c r="B29" s="107"/>
      <c r="C29" s="8"/>
      <c r="D29" s="103"/>
      <c r="E29" s="103"/>
      <c r="F29" s="103"/>
      <c r="G29" s="103">
        <f t="shared" si="1"/>
        <v>0.3</v>
      </c>
      <c r="H29" s="103" t="s">
        <v>51</v>
      </c>
      <c r="I29" s="103">
        <v>22.72</v>
      </c>
      <c r="J29" s="104" t="s">
        <v>52</v>
      </c>
      <c r="K29" s="7">
        <f t="shared" si="2"/>
        <v>6.82</v>
      </c>
    </row>
    <row r="30" spans="1:11" ht="12.75" customHeight="1" x14ac:dyDescent="0.2">
      <c r="A30" s="106"/>
      <c r="B30" s="107"/>
      <c r="C30" s="8"/>
      <c r="D30" s="11"/>
      <c r="E30" s="11"/>
      <c r="F30" s="11"/>
      <c r="G30" s="11"/>
      <c r="H30" s="11"/>
      <c r="I30" s="11" t="s">
        <v>15</v>
      </c>
      <c r="J30" s="11" t="s">
        <v>52</v>
      </c>
      <c r="K30" s="100">
        <f>SUM(K17:K29)</f>
        <v>194.71</v>
      </c>
    </row>
    <row r="31" spans="1:11" ht="12.75" customHeight="1" x14ac:dyDescent="0.2">
      <c r="A31" s="106"/>
      <c r="B31" s="107"/>
      <c r="C31" s="8"/>
      <c r="D31" s="11"/>
      <c r="E31" s="11"/>
      <c r="F31" s="11"/>
      <c r="G31" s="11"/>
      <c r="H31" s="11"/>
      <c r="I31" s="11"/>
      <c r="J31" s="11"/>
      <c r="K31" s="7"/>
    </row>
    <row r="32" spans="1:11" ht="52.5" customHeight="1" x14ac:dyDescent="0.2">
      <c r="A32" s="108" t="str">
        <f>Planilha!A26</f>
        <v>4.1.2</v>
      </c>
      <c r="B32" s="108" t="str">
        <f>Planilha!B26</f>
        <v>SINAPI</v>
      </c>
      <c r="C32" s="108">
        <f>Planilha!C26</f>
        <v>101235</v>
      </c>
      <c r="D32" s="332" t="str">
        <f>Planilha!D26</f>
        <v>ESCAVAÇÃO VERTICAL PARA INFRAESTRUTURA, COM CARGA, DESCARGA E TRANSPORTE DE SOLO DE 1ª CATEGORIA, COM ESCAVADEIRA HIDRÁULICA (CAÇAMBA: 0,8 M³ / 111HP), FROTA DE 5 CAMINHÕES BASCULANTES DE 14 M³, DMT DE 2 KM E VELOCIDADE MÉDIA 19 KM/H. AF_05/2020 - FORNECIMENTO DE MATERIAL PARA REATERRO DO MURO DE CONTENÇÃO</v>
      </c>
      <c r="E32" s="332"/>
      <c r="F32" s="332"/>
      <c r="G32" s="332"/>
      <c r="H32" s="332"/>
      <c r="I32" s="332"/>
      <c r="J32" s="332"/>
      <c r="K32" s="7" t="str">
        <f>Planilha!E26</f>
        <v>M³</v>
      </c>
    </row>
    <row r="33" spans="1:11" ht="12.75" customHeight="1" x14ac:dyDescent="0.2">
      <c r="A33" s="106"/>
      <c r="B33" s="107"/>
      <c r="C33" s="8"/>
      <c r="D33" s="11" t="s">
        <v>203</v>
      </c>
      <c r="E33" s="11"/>
      <c r="F33" s="11"/>
      <c r="G33" s="11"/>
      <c r="H33" s="11"/>
      <c r="I33" s="11"/>
      <c r="J33" s="11"/>
      <c r="K33" s="100">
        <f>K66</f>
        <v>16.739999999999998</v>
      </c>
    </row>
    <row r="34" spans="1:11" ht="12.75" customHeight="1" x14ac:dyDescent="0.25">
      <c r="A34" s="106"/>
      <c r="B34" s="107"/>
      <c r="C34" s="8"/>
      <c r="D34" s="103"/>
      <c r="E34" s="103"/>
      <c r="F34" s="103"/>
      <c r="G34" s="103"/>
      <c r="H34" s="103"/>
      <c r="I34" s="103"/>
      <c r="J34" s="104"/>
      <c r="K34" s="7"/>
    </row>
    <row r="35" spans="1:11" ht="26.25" customHeight="1" x14ac:dyDescent="0.2">
      <c r="A35" s="108" t="str">
        <f>Planilha!A27</f>
        <v>4.1.3</v>
      </c>
      <c r="B35" s="108" t="str">
        <f>Planilha!B27</f>
        <v>SINAPI</v>
      </c>
      <c r="C35" s="108">
        <f>Planilha!C27</f>
        <v>95875</v>
      </c>
      <c r="D35" s="332" t="str">
        <f>Planilha!D27</f>
        <v xml:space="preserve">TRANSPORTE COM CAMINHÃO BASCULANTE DE 10 M³, EM VIA URBANA PAVIMENTADA, DMT ATÉ 30 KM AF_07/2020 </v>
      </c>
      <c r="E35" s="332"/>
      <c r="F35" s="332"/>
      <c r="G35" s="332"/>
      <c r="H35" s="332"/>
      <c r="I35" s="332"/>
      <c r="J35" s="332"/>
      <c r="K35" s="7" t="str">
        <f>Planilha!E27</f>
        <v>M³xKM</v>
      </c>
    </row>
    <row r="36" spans="1:11" ht="12.75" customHeight="1" x14ac:dyDescent="0.25">
      <c r="A36" s="106"/>
      <c r="B36" s="107"/>
      <c r="C36" s="8"/>
      <c r="D36" s="11"/>
      <c r="E36" s="11" t="s">
        <v>83</v>
      </c>
      <c r="F36" s="11"/>
      <c r="G36" s="105" t="s">
        <v>106</v>
      </c>
      <c r="H36" s="11"/>
      <c r="I36" s="11" t="s">
        <v>84</v>
      </c>
      <c r="J36" s="11"/>
      <c r="K36" s="7" t="s">
        <v>15</v>
      </c>
    </row>
    <row r="37" spans="1:11" ht="12.75" customHeight="1" x14ac:dyDescent="0.25">
      <c r="A37" s="106"/>
      <c r="B37" s="107"/>
      <c r="C37" s="8"/>
      <c r="D37" s="11"/>
      <c r="E37" s="11">
        <f>K30</f>
        <v>194.71</v>
      </c>
      <c r="F37" s="11" t="s">
        <v>82</v>
      </c>
      <c r="G37" s="105">
        <v>1.3</v>
      </c>
      <c r="H37" s="103" t="s">
        <v>82</v>
      </c>
      <c r="I37" s="103">
        <v>5</v>
      </c>
      <c r="J37" s="11" t="s">
        <v>52</v>
      </c>
      <c r="K37" s="7">
        <f>E37*G37*I37</f>
        <v>1265.6199999999999</v>
      </c>
    </row>
    <row r="38" spans="1:11" ht="12.75" customHeight="1" x14ac:dyDescent="0.25">
      <c r="A38" s="106"/>
      <c r="B38" s="107"/>
      <c r="C38" s="8"/>
      <c r="D38" s="11"/>
      <c r="E38" s="11">
        <f>K33</f>
        <v>16.739999999999998</v>
      </c>
      <c r="F38" s="11" t="s">
        <v>82</v>
      </c>
      <c r="G38" s="105">
        <v>1</v>
      </c>
      <c r="H38" s="103" t="s">
        <v>82</v>
      </c>
      <c r="I38" s="103">
        <v>5</v>
      </c>
      <c r="J38" s="11" t="s">
        <v>52</v>
      </c>
      <c r="K38" s="7">
        <f>E38*G38*I38</f>
        <v>83.7</v>
      </c>
    </row>
    <row r="39" spans="1:11" ht="12.75" customHeight="1" x14ac:dyDescent="0.25">
      <c r="A39" s="106"/>
      <c r="B39" s="107"/>
      <c r="C39" s="8"/>
      <c r="D39" s="11"/>
      <c r="E39" s="11">
        <f>K57</f>
        <v>57.33</v>
      </c>
      <c r="F39" s="11" t="s">
        <v>82</v>
      </c>
      <c r="G39" s="105">
        <v>1.3</v>
      </c>
      <c r="H39" s="103" t="s">
        <v>82</v>
      </c>
      <c r="I39" s="103">
        <v>5</v>
      </c>
      <c r="J39" s="11" t="s">
        <v>52</v>
      </c>
      <c r="K39" s="7">
        <f>E39*G39*I39</f>
        <v>372.65</v>
      </c>
    </row>
    <row r="40" spans="1:11" ht="12.75" customHeight="1" x14ac:dyDescent="0.2">
      <c r="A40" s="106"/>
      <c r="B40" s="107"/>
      <c r="C40" s="8"/>
      <c r="D40" s="11"/>
      <c r="E40" s="103">
        <f>K30+K33+K57</f>
        <v>268.77999999999997</v>
      </c>
      <c r="F40" s="103" t="s">
        <v>82</v>
      </c>
      <c r="G40" s="103">
        <v>1.3</v>
      </c>
      <c r="H40" s="103" t="s">
        <v>82</v>
      </c>
      <c r="I40" s="103">
        <v>5</v>
      </c>
      <c r="J40" s="11" t="s">
        <v>52</v>
      </c>
      <c r="K40" s="100">
        <f>ROUND(SUM(K37:K39),2)</f>
        <v>1721.97</v>
      </c>
    </row>
    <row r="41" spans="1:11" ht="12.75" customHeight="1" x14ac:dyDescent="0.2">
      <c r="A41" s="106"/>
      <c r="B41" s="107"/>
      <c r="C41" s="8"/>
      <c r="D41" s="11"/>
      <c r="E41" s="11"/>
      <c r="F41" s="11"/>
      <c r="G41" s="11"/>
      <c r="H41" s="11"/>
      <c r="I41" s="11"/>
      <c r="J41" s="11"/>
      <c r="K41" s="7"/>
    </row>
    <row r="42" spans="1:11" x14ac:dyDescent="0.2">
      <c r="A42" s="108" t="str">
        <f>Planilha!A28</f>
        <v>4.1.4</v>
      </c>
      <c r="B42" s="108" t="str">
        <f>Planilha!B28</f>
        <v>SINAPI</v>
      </c>
      <c r="C42" s="108" t="str">
        <f>Planilha!C28</f>
        <v>93358</v>
      </c>
      <c r="D42" s="332" t="str">
        <f>Planilha!D28</f>
        <v>ESCAVAÇÃO MANUAL DE VALA COM PROFUNDIDADE MENOR OU IGUAL A 1,30 M. AF_02/2021</v>
      </c>
      <c r="E42" s="332"/>
      <c r="F42" s="332"/>
      <c r="G42" s="332"/>
      <c r="H42" s="332"/>
      <c r="I42" s="332"/>
      <c r="J42" s="332"/>
      <c r="K42" s="7" t="str">
        <f>Planilha!E28</f>
        <v>M³</v>
      </c>
    </row>
    <row r="43" spans="1:11" ht="12.75" customHeight="1" x14ac:dyDescent="0.2">
      <c r="A43" s="106"/>
      <c r="B43" s="107"/>
      <c r="C43" s="8"/>
      <c r="D43" s="103"/>
      <c r="E43" s="103"/>
      <c r="F43" s="103"/>
      <c r="G43" s="103" t="s">
        <v>86</v>
      </c>
      <c r="H43" s="103"/>
      <c r="I43" s="103" t="s">
        <v>183</v>
      </c>
      <c r="J43" s="103"/>
      <c r="K43" s="7"/>
    </row>
    <row r="44" spans="1:11" ht="12.75" customHeight="1" x14ac:dyDescent="0.25">
      <c r="A44" s="106"/>
      <c r="B44" s="107"/>
      <c r="C44" s="8"/>
      <c r="D44" s="207" t="s">
        <v>184</v>
      </c>
      <c r="E44" s="7" t="s">
        <v>185</v>
      </c>
      <c r="F44" s="103" t="s">
        <v>213</v>
      </c>
      <c r="G44" s="103">
        <v>1245.44</v>
      </c>
      <c r="H44" s="120" t="s">
        <v>212</v>
      </c>
      <c r="I44" s="103">
        <v>0.05</v>
      </c>
      <c r="J44" s="104" t="s">
        <v>52</v>
      </c>
      <c r="K44" s="7">
        <f>ROUND(((G44)/2)*I44,2)</f>
        <v>31.14</v>
      </c>
    </row>
    <row r="45" spans="1:11" ht="12.75" customHeight="1" x14ac:dyDescent="0.25">
      <c r="A45" s="106"/>
      <c r="B45" s="107"/>
      <c r="C45" s="8"/>
      <c r="D45" s="207" t="s">
        <v>184</v>
      </c>
      <c r="E45" s="7" t="s">
        <v>186</v>
      </c>
      <c r="F45" s="103" t="s">
        <v>213</v>
      </c>
      <c r="G45" s="103">
        <v>205.49</v>
      </c>
      <c r="H45" s="120" t="s">
        <v>212</v>
      </c>
      <c r="I45" s="103">
        <v>0.05</v>
      </c>
      <c r="J45" s="104" t="s">
        <v>52</v>
      </c>
      <c r="K45" s="7">
        <f t="shared" ref="K45:K50" si="3">ROUND(((G45)/2)*I45,2)</f>
        <v>5.14</v>
      </c>
    </row>
    <row r="46" spans="1:11" ht="12.75" customHeight="1" x14ac:dyDescent="0.25">
      <c r="A46" s="106"/>
      <c r="B46" s="107"/>
      <c r="C46" s="8"/>
      <c r="D46" s="207" t="s">
        <v>197</v>
      </c>
      <c r="E46" s="7" t="s">
        <v>187</v>
      </c>
      <c r="F46" s="103" t="s">
        <v>213</v>
      </c>
      <c r="G46" s="103">
        <v>296.3</v>
      </c>
      <c r="H46" s="120" t="s">
        <v>212</v>
      </c>
      <c r="I46" s="103">
        <v>0.05</v>
      </c>
      <c r="J46" s="104" t="s">
        <v>52</v>
      </c>
      <c r="K46" s="7">
        <f t="shared" si="3"/>
        <v>7.41</v>
      </c>
    </row>
    <row r="47" spans="1:11" ht="12.75" customHeight="1" x14ac:dyDescent="0.25">
      <c r="A47" s="106"/>
      <c r="B47" s="107"/>
      <c r="C47" s="8"/>
      <c r="D47" s="207" t="s">
        <v>197</v>
      </c>
      <c r="E47" s="7" t="s">
        <v>188</v>
      </c>
      <c r="F47" s="103" t="s">
        <v>213</v>
      </c>
      <c r="G47" s="103">
        <v>16.98</v>
      </c>
      <c r="H47" s="120" t="s">
        <v>212</v>
      </c>
      <c r="I47" s="103">
        <v>0.05</v>
      </c>
      <c r="J47" s="104" t="s">
        <v>52</v>
      </c>
      <c r="K47" s="7">
        <f t="shared" si="3"/>
        <v>0.42</v>
      </c>
    </row>
    <row r="48" spans="1:11" ht="12.75" customHeight="1" x14ac:dyDescent="0.25">
      <c r="A48" s="106"/>
      <c r="B48" s="107"/>
      <c r="C48" s="8"/>
      <c r="D48" s="207" t="s">
        <v>197</v>
      </c>
      <c r="E48" s="7" t="s">
        <v>189</v>
      </c>
      <c r="F48" s="103" t="s">
        <v>213</v>
      </c>
      <c r="G48" s="103">
        <v>103.48</v>
      </c>
      <c r="H48" s="120" t="s">
        <v>212</v>
      </c>
      <c r="I48" s="103">
        <v>0.05</v>
      </c>
      <c r="J48" s="104" t="s">
        <v>52</v>
      </c>
      <c r="K48" s="7">
        <f t="shared" si="3"/>
        <v>2.59</v>
      </c>
    </row>
    <row r="49" spans="1:11" ht="12.75" customHeight="1" x14ac:dyDescent="0.25">
      <c r="A49" s="106"/>
      <c r="B49" s="107"/>
      <c r="C49" s="8"/>
      <c r="D49" s="207" t="s">
        <v>197</v>
      </c>
      <c r="E49" s="7" t="s">
        <v>190</v>
      </c>
      <c r="F49" s="103" t="s">
        <v>213</v>
      </c>
      <c r="G49" s="103">
        <v>165.12</v>
      </c>
      <c r="H49" s="120" t="s">
        <v>212</v>
      </c>
      <c r="I49" s="103">
        <v>0.05</v>
      </c>
      <c r="J49" s="104" t="s">
        <v>52</v>
      </c>
      <c r="K49" s="7">
        <f t="shared" si="3"/>
        <v>4.13</v>
      </c>
    </row>
    <row r="50" spans="1:11" ht="12.75" customHeight="1" x14ac:dyDescent="0.25">
      <c r="A50" s="106"/>
      <c r="B50" s="107"/>
      <c r="C50" s="8"/>
      <c r="D50" s="207" t="s">
        <v>199</v>
      </c>
      <c r="E50" s="7" t="s">
        <v>196</v>
      </c>
      <c r="F50" s="103" t="s">
        <v>213</v>
      </c>
      <c r="G50" s="103">
        <v>130.61000000000001</v>
      </c>
      <c r="H50" s="120" t="s">
        <v>212</v>
      </c>
      <c r="I50" s="103">
        <v>0.05</v>
      </c>
      <c r="J50" s="104" t="s">
        <v>52</v>
      </c>
      <c r="K50" s="7">
        <f t="shared" si="3"/>
        <v>3.27</v>
      </c>
    </row>
    <row r="51" spans="1:11" ht="25.5" x14ac:dyDescent="0.25">
      <c r="A51" s="106"/>
      <c r="B51" s="107"/>
      <c r="C51" s="8"/>
      <c r="D51" s="103" t="s">
        <v>246</v>
      </c>
      <c r="E51" s="103">
        <v>0.4</v>
      </c>
      <c r="F51" s="103" t="s">
        <v>51</v>
      </c>
      <c r="G51" s="103">
        <v>0.15</v>
      </c>
      <c r="H51" s="103" t="s">
        <v>51</v>
      </c>
      <c r="I51" s="103">
        <v>14</v>
      </c>
      <c r="J51" s="104" t="s">
        <v>52</v>
      </c>
      <c r="K51" s="7">
        <f t="shared" ref="K51:K56" si="4">ROUND(((E51*G51)/2)*I51,2)</f>
        <v>0.42</v>
      </c>
    </row>
    <row r="52" spans="1:11" ht="12.75" customHeight="1" x14ac:dyDescent="0.25">
      <c r="A52" s="106"/>
      <c r="B52" s="107"/>
      <c r="C52" s="8"/>
      <c r="D52" s="103"/>
      <c r="E52" s="103">
        <v>0.4</v>
      </c>
      <c r="F52" s="103" t="s">
        <v>51</v>
      </c>
      <c r="G52" s="103">
        <v>0.15</v>
      </c>
      <c r="H52" s="103" t="s">
        <v>51</v>
      </c>
      <c r="I52" s="103">
        <v>13.83</v>
      </c>
      <c r="J52" s="104" t="s">
        <v>52</v>
      </c>
      <c r="K52" s="7">
        <f t="shared" si="4"/>
        <v>0.41</v>
      </c>
    </row>
    <row r="53" spans="1:11" ht="12.75" customHeight="1" x14ac:dyDescent="0.25">
      <c r="A53" s="106"/>
      <c r="B53" s="107"/>
      <c r="C53" s="8"/>
      <c r="D53" s="103"/>
      <c r="E53" s="103">
        <v>0.4</v>
      </c>
      <c r="F53" s="103" t="s">
        <v>51</v>
      </c>
      <c r="G53" s="103">
        <v>0.15</v>
      </c>
      <c r="H53" s="103" t="s">
        <v>51</v>
      </c>
      <c r="I53" s="103">
        <v>7.48</v>
      </c>
      <c r="J53" s="104" t="s">
        <v>52</v>
      </c>
      <c r="K53" s="7">
        <f t="shared" si="4"/>
        <v>0.22</v>
      </c>
    </row>
    <row r="54" spans="1:11" ht="12.75" customHeight="1" x14ac:dyDescent="0.25">
      <c r="A54" s="106"/>
      <c r="B54" s="107"/>
      <c r="C54" s="8"/>
      <c r="D54" s="103"/>
      <c r="E54" s="103">
        <v>0.4</v>
      </c>
      <c r="F54" s="103" t="s">
        <v>51</v>
      </c>
      <c r="G54" s="103">
        <v>0.15</v>
      </c>
      <c r="H54" s="103" t="s">
        <v>51</v>
      </c>
      <c r="I54" s="103">
        <v>21.75</v>
      </c>
      <c r="J54" s="104" t="s">
        <v>52</v>
      </c>
      <c r="K54" s="7">
        <f t="shared" si="4"/>
        <v>0.65</v>
      </c>
    </row>
    <row r="55" spans="1:11" ht="12.75" customHeight="1" x14ac:dyDescent="0.25">
      <c r="A55" s="106"/>
      <c r="B55" s="107"/>
      <c r="C55" s="8"/>
      <c r="D55" s="103"/>
      <c r="E55" s="103">
        <v>0.4</v>
      </c>
      <c r="F55" s="103" t="s">
        <v>51</v>
      </c>
      <c r="G55" s="103">
        <v>0.15</v>
      </c>
      <c r="H55" s="103" t="s">
        <v>51</v>
      </c>
      <c r="I55" s="103">
        <v>28.39</v>
      </c>
      <c r="J55" s="104" t="s">
        <v>52</v>
      </c>
      <c r="K55" s="7">
        <f t="shared" si="4"/>
        <v>0.85</v>
      </c>
    </row>
    <row r="56" spans="1:11" ht="12.75" customHeight="1" x14ac:dyDescent="0.25">
      <c r="A56" s="106"/>
      <c r="B56" s="107"/>
      <c r="C56" s="8"/>
      <c r="D56" s="103"/>
      <c r="E56" s="103">
        <v>0.4</v>
      </c>
      <c r="F56" s="103" t="s">
        <v>51</v>
      </c>
      <c r="G56" s="103">
        <v>0.15</v>
      </c>
      <c r="H56" s="103" t="s">
        <v>51</v>
      </c>
      <c r="I56" s="103">
        <v>22.72</v>
      </c>
      <c r="J56" s="104" t="s">
        <v>52</v>
      </c>
      <c r="K56" s="7">
        <f t="shared" si="4"/>
        <v>0.68</v>
      </c>
    </row>
    <row r="57" spans="1:11" ht="12.75" customHeight="1" x14ac:dyDescent="0.2">
      <c r="A57" s="106"/>
      <c r="B57" s="107"/>
      <c r="C57" s="8"/>
      <c r="D57" s="11"/>
      <c r="E57" s="103"/>
      <c r="F57" s="103"/>
      <c r="G57" s="103"/>
      <c r="H57" s="103"/>
      <c r="I57" s="103"/>
      <c r="J57" s="11"/>
      <c r="K57" s="100">
        <f>SUM(K44:K56)</f>
        <v>57.33</v>
      </c>
    </row>
    <row r="58" spans="1:11" ht="12.75" customHeight="1" x14ac:dyDescent="0.2">
      <c r="A58" s="106"/>
      <c r="B58" s="107"/>
      <c r="C58" s="8"/>
      <c r="D58" s="11"/>
      <c r="E58" s="103"/>
      <c r="F58" s="103"/>
      <c r="G58" s="103"/>
      <c r="H58" s="103"/>
      <c r="I58" s="103"/>
      <c r="J58" s="11"/>
      <c r="K58" s="7"/>
    </row>
    <row r="59" spans="1:11" x14ac:dyDescent="0.2">
      <c r="A59" s="108" t="str">
        <f>Planilha!A29</f>
        <v>4.1.5</v>
      </c>
      <c r="B59" s="108" t="str">
        <f>Planilha!B29</f>
        <v>SINAPI</v>
      </c>
      <c r="C59" s="108">
        <f>Planilha!C29</f>
        <v>93382</v>
      </c>
      <c r="D59" s="332" t="str">
        <f>Planilha!D29</f>
        <v>REATERRO MANUAL DE VALAS, COM COMPACTADOR DE SOLOS DE PERCUSSÃO. AF_08/2023</v>
      </c>
      <c r="E59" s="332"/>
      <c r="F59" s="332"/>
      <c r="G59" s="332"/>
      <c r="H59" s="332"/>
      <c r="I59" s="332"/>
      <c r="J59" s="332"/>
      <c r="K59" s="7" t="str">
        <f>Planilha!E29</f>
        <v>M³</v>
      </c>
    </row>
    <row r="60" spans="1:11" ht="12.75" customHeight="1" x14ac:dyDescent="0.2">
      <c r="A60" s="106"/>
      <c r="B60" s="107"/>
      <c r="C60" s="8"/>
      <c r="D60" s="103"/>
      <c r="E60" s="103"/>
      <c r="F60" s="103"/>
      <c r="G60" s="103" t="s">
        <v>108</v>
      </c>
      <c r="H60" s="103"/>
      <c r="I60" s="103" t="s">
        <v>85</v>
      </c>
      <c r="J60" s="103"/>
      <c r="K60" s="7" t="s">
        <v>142</v>
      </c>
    </row>
    <row r="61" spans="1:11" ht="12.75" customHeight="1" x14ac:dyDescent="0.25">
      <c r="A61" s="106"/>
      <c r="B61" s="107"/>
      <c r="C61" s="8"/>
      <c r="D61" s="207" t="s">
        <v>198</v>
      </c>
      <c r="E61" s="7" t="s">
        <v>191</v>
      </c>
      <c r="F61" s="103"/>
      <c r="G61" s="103">
        <v>33.200000000000003</v>
      </c>
      <c r="H61" s="120" t="s">
        <v>82</v>
      </c>
      <c r="I61" s="103">
        <v>0.2</v>
      </c>
      <c r="J61" s="104" t="s">
        <v>52</v>
      </c>
      <c r="K61" s="7">
        <f>ROUND(((G61)/2)*I61,2)</f>
        <v>3.32</v>
      </c>
    </row>
    <row r="62" spans="1:11" ht="12.75" customHeight="1" x14ac:dyDescent="0.25">
      <c r="A62" s="106"/>
      <c r="B62" s="107"/>
      <c r="C62" s="8"/>
      <c r="D62" s="207" t="s">
        <v>198</v>
      </c>
      <c r="E62" s="7" t="s">
        <v>192</v>
      </c>
      <c r="F62" s="103"/>
      <c r="G62" s="103">
        <v>58.63</v>
      </c>
      <c r="H62" s="120" t="s">
        <v>82</v>
      </c>
      <c r="I62" s="103">
        <v>0.2</v>
      </c>
      <c r="J62" s="104" t="s">
        <v>52</v>
      </c>
      <c r="K62" s="7">
        <f>ROUND(((G62)/2)*I62,2)</f>
        <v>5.86</v>
      </c>
    </row>
    <row r="63" spans="1:11" ht="12.75" customHeight="1" x14ac:dyDescent="0.25">
      <c r="A63" s="106"/>
      <c r="B63" s="107"/>
      <c r="C63" s="8"/>
      <c r="D63" s="207" t="s">
        <v>198</v>
      </c>
      <c r="E63" s="7" t="s">
        <v>193</v>
      </c>
      <c r="F63" s="103"/>
      <c r="G63" s="103">
        <v>23.53</v>
      </c>
      <c r="H63" s="120" t="s">
        <v>82</v>
      </c>
      <c r="I63" s="103">
        <v>0.2</v>
      </c>
      <c r="J63" s="104" t="s">
        <v>52</v>
      </c>
      <c r="K63" s="7">
        <f>ROUND(((G63)/2)*I63,2)</f>
        <v>2.35</v>
      </c>
    </row>
    <row r="64" spans="1:11" ht="12.75" customHeight="1" x14ac:dyDescent="0.25">
      <c r="A64" s="106"/>
      <c r="B64" s="107"/>
      <c r="C64" s="8"/>
      <c r="D64" s="207" t="s">
        <v>198</v>
      </c>
      <c r="E64" s="7" t="s">
        <v>194</v>
      </c>
      <c r="F64" s="103"/>
      <c r="G64" s="103">
        <v>20.36</v>
      </c>
      <c r="H64" s="120" t="s">
        <v>82</v>
      </c>
      <c r="I64" s="103">
        <v>0.2</v>
      </c>
      <c r="J64" s="104" t="s">
        <v>52</v>
      </c>
      <c r="K64" s="7">
        <f>ROUND(((G64)/2)*I64,2)</f>
        <v>2.04</v>
      </c>
    </row>
    <row r="65" spans="1:11" ht="12.75" customHeight="1" x14ac:dyDescent="0.25">
      <c r="A65" s="106"/>
      <c r="B65" s="107"/>
      <c r="C65" s="8"/>
      <c r="D65" s="207" t="s">
        <v>198</v>
      </c>
      <c r="E65" s="7" t="s">
        <v>195</v>
      </c>
      <c r="F65" s="103"/>
      <c r="G65" s="103">
        <v>31.71</v>
      </c>
      <c r="H65" s="120" t="s">
        <v>82</v>
      </c>
      <c r="I65" s="103">
        <v>0.2</v>
      </c>
      <c r="J65" s="104" t="s">
        <v>52</v>
      </c>
      <c r="K65" s="7">
        <f>ROUND(((G65)/2)*I65,2)</f>
        <v>3.17</v>
      </c>
    </row>
    <row r="66" spans="1:11" ht="12.75" customHeight="1" x14ac:dyDescent="0.2">
      <c r="A66" s="106"/>
      <c r="B66" s="107"/>
      <c r="C66" s="8"/>
      <c r="D66" s="11"/>
      <c r="E66" s="103"/>
      <c r="F66" s="103"/>
      <c r="G66" s="103"/>
      <c r="H66" s="103"/>
      <c r="I66" s="103"/>
      <c r="J66" s="11"/>
      <c r="K66" s="100">
        <f>SUM(K61:K65)</f>
        <v>16.739999999999998</v>
      </c>
    </row>
    <row r="67" spans="1:11" ht="12.75" customHeight="1" x14ac:dyDescent="0.2">
      <c r="A67" s="106"/>
      <c r="B67" s="107"/>
      <c r="C67" s="8"/>
      <c r="D67" s="11"/>
      <c r="E67" s="103"/>
      <c r="F67" s="103"/>
      <c r="G67" s="103"/>
      <c r="H67" s="103"/>
      <c r="I67" s="103"/>
      <c r="J67" s="11"/>
    </row>
    <row r="68" spans="1:11" ht="27" customHeight="1" x14ac:dyDescent="0.2">
      <c r="A68" s="108" t="str">
        <f>Planilha!A30</f>
        <v>4.1.6</v>
      </c>
      <c r="B68" s="108" t="str">
        <f>Planilha!B30</f>
        <v>SINAPI</v>
      </c>
      <c r="C68" s="108">
        <f>Planilha!C30</f>
        <v>98525</v>
      </c>
      <c r="D68" s="332" t="str">
        <f>Planilha!D30</f>
        <v>LIMPEZA MECANIZADA DE CAMADA VEGETAL, VEGETAÇÃO E PEQUENAS ÁRVORES (DIÂMETRO DE TRONCO MENOR QUE 0,20 M), COM TRATOR DE ESTEIRAS. AF_03/2024</v>
      </c>
      <c r="E68" s="332"/>
      <c r="F68" s="332"/>
      <c r="G68" s="332"/>
      <c r="H68" s="332"/>
      <c r="I68" s="332"/>
      <c r="J68" s="332"/>
      <c r="K68" s="7" t="str">
        <f>Planilha!E30</f>
        <v>M²</v>
      </c>
    </row>
    <row r="69" spans="1:11" ht="12.75" customHeight="1" x14ac:dyDescent="0.2">
      <c r="A69" s="108"/>
      <c r="B69" s="108"/>
      <c r="C69" s="108"/>
      <c r="D69" s="103"/>
      <c r="E69" s="103"/>
      <c r="F69" s="103"/>
      <c r="G69" s="103" t="s">
        <v>86</v>
      </c>
      <c r="H69" s="103"/>
      <c r="I69" s="103"/>
      <c r="J69" s="103"/>
      <c r="K69" s="7"/>
    </row>
    <row r="70" spans="1:11" ht="12.75" customHeight="1" x14ac:dyDescent="0.25">
      <c r="A70" s="108"/>
      <c r="B70" s="108"/>
      <c r="C70" s="108"/>
      <c r="D70" s="207" t="s">
        <v>184</v>
      </c>
      <c r="E70" s="7" t="s">
        <v>185</v>
      </c>
      <c r="F70" s="103"/>
      <c r="G70" s="103">
        <v>1245.44</v>
      </c>
      <c r="H70" s="120"/>
      <c r="I70" s="103"/>
      <c r="J70" s="104" t="s">
        <v>52</v>
      </c>
      <c r="K70" s="7">
        <f>ROUND(G70,2)</f>
        <v>1245.44</v>
      </c>
    </row>
    <row r="71" spans="1:11" ht="12.75" customHeight="1" x14ac:dyDescent="0.25">
      <c r="A71" s="108"/>
      <c r="B71" s="108"/>
      <c r="C71" s="108"/>
      <c r="D71" s="207" t="s">
        <v>184</v>
      </c>
      <c r="E71" s="7" t="s">
        <v>186</v>
      </c>
      <c r="F71" s="103"/>
      <c r="G71" s="103">
        <v>205.49</v>
      </c>
      <c r="H71" s="120"/>
      <c r="I71" s="103"/>
      <c r="J71" s="104" t="s">
        <v>52</v>
      </c>
      <c r="K71" s="7">
        <f t="shared" ref="K71:K81" si="5">ROUND(G71,2)</f>
        <v>205.49</v>
      </c>
    </row>
    <row r="72" spans="1:11" ht="12.75" customHeight="1" x14ac:dyDescent="0.25">
      <c r="A72" s="108"/>
      <c r="B72" s="108"/>
      <c r="C72" s="108"/>
      <c r="D72" s="207" t="s">
        <v>197</v>
      </c>
      <c r="E72" s="7" t="s">
        <v>187</v>
      </c>
      <c r="F72" s="103"/>
      <c r="G72" s="103">
        <v>296.3</v>
      </c>
      <c r="H72" s="120"/>
      <c r="I72" s="103"/>
      <c r="J72" s="104" t="s">
        <v>52</v>
      </c>
      <c r="K72" s="7">
        <f t="shared" si="5"/>
        <v>296.3</v>
      </c>
    </row>
    <row r="73" spans="1:11" ht="12.75" customHeight="1" x14ac:dyDescent="0.25">
      <c r="A73" s="108"/>
      <c r="B73" s="108"/>
      <c r="C73" s="108"/>
      <c r="D73" s="207" t="s">
        <v>197</v>
      </c>
      <c r="E73" s="7" t="s">
        <v>188</v>
      </c>
      <c r="F73" s="103"/>
      <c r="G73" s="103">
        <v>16.98</v>
      </c>
      <c r="H73" s="120"/>
      <c r="I73" s="103"/>
      <c r="J73" s="104" t="s">
        <v>52</v>
      </c>
      <c r="K73" s="7">
        <f t="shared" si="5"/>
        <v>16.98</v>
      </c>
    </row>
    <row r="74" spans="1:11" ht="12.75" customHeight="1" x14ac:dyDescent="0.25">
      <c r="A74" s="108"/>
      <c r="B74" s="108"/>
      <c r="C74" s="108"/>
      <c r="D74" s="207" t="s">
        <v>197</v>
      </c>
      <c r="E74" s="7" t="s">
        <v>189</v>
      </c>
      <c r="F74" s="208"/>
      <c r="G74" s="103">
        <v>103.48</v>
      </c>
      <c r="H74" s="120"/>
      <c r="I74" s="103"/>
      <c r="J74" s="104" t="s">
        <v>52</v>
      </c>
      <c r="K74" s="7">
        <f t="shared" si="5"/>
        <v>103.48</v>
      </c>
    </row>
    <row r="75" spans="1:11" ht="12.75" customHeight="1" x14ac:dyDescent="0.25">
      <c r="A75" s="108"/>
      <c r="B75" s="108"/>
      <c r="C75" s="108"/>
      <c r="D75" s="207" t="s">
        <v>197</v>
      </c>
      <c r="E75" s="7" t="s">
        <v>190</v>
      </c>
      <c r="F75" s="103"/>
      <c r="G75" s="103">
        <v>165.12</v>
      </c>
      <c r="H75" s="120"/>
      <c r="I75" s="103"/>
      <c r="J75" s="104" t="s">
        <v>52</v>
      </c>
      <c r="K75" s="7">
        <f t="shared" si="5"/>
        <v>165.12</v>
      </c>
    </row>
    <row r="76" spans="1:11" ht="12.75" customHeight="1" x14ac:dyDescent="0.25">
      <c r="A76" s="108"/>
      <c r="B76" s="108"/>
      <c r="C76" s="108"/>
      <c r="D76" s="207" t="s">
        <v>198</v>
      </c>
      <c r="E76" s="7" t="s">
        <v>191</v>
      </c>
      <c r="F76" s="103"/>
      <c r="G76" s="103">
        <v>33.200000000000003</v>
      </c>
      <c r="H76" s="120"/>
      <c r="I76" s="103"/>
      <c r="J76" s="104" t="s">
        <v>52</v>
      </c>
      <c r="K76" s="7">
        <f t="shared" si="5"/>
        <v>33.200000000000003</v>
      </c>
    </row>
    <row r="77" spans="1:11" ht="12.75" customHeight="1" x14ac:dyDescent="0.25">
      <c r="A77" s="108"/>
      <c r="B77" s="108"/>
      <c r="C77" s="108"/>
      <c r="D77" s="207" t="s">
        <v>198</v>
      </c>
      <c r="E77" s="7" t="s">
        <v>192</v>
      </c>
      <c r="F77" s="103"/>
      <c r="G77" s="103">
        <v>58.63</v>
      </c>
      <c r="H77" s="120"/>
      <c r="I77" s="103"/>
      <c r="J77" s="104" t="s">
        <v>52</v>
      </c>
      <c r="K77" s="7">
        <f t="shared" si="5"/>
        <v>58.63</v>
      </c>
    </row>
    <row r="78" spans="1:11" ht="12.75" customHeight="1" x14ac:dyDescent="0.25">
      <c r="A78" s="108"/>
      <c r="B78" s="108"/>
      <c r="C78" s="108"/>
      <c r="D78" s="207" t="s">
        <v>198</v>
      </c>
      <c r="E78" s="7" t="s">
        <v>193</v>
      </c>
      <c r="F78" s="103"/>
      <c r="G78" s="103">
        <v>23.53</v>
      </c>
      <c r="H78" s="120"/>
      <c r="I78" s="103"/>
      <c r="J78" s="104" t="s">
        <v>52</v>
      </c>
      <c r="K78" s="7">
        <f t="shared" si="5"/>
        <v>23.53</v>
      </c>
    </row>
    <row r="79" spans="1:11" ht="12.75" customHeight="1" x14ac:dyDescent="0.25">
      <c r="A79" s="108"/>
      <c r="B79" s="108"/>
      <c r="C79" s="108"/>
      <c r="D79" s="207" t="s">
        <v>198</v>
      </c>
      <c r="E79" s="7" t="s">
        <v>194</v>
      </c>
      <c r="F79" s="103"/>
      <c r="G79" s="103">
        <v>20.36</v>
      </c>
      <c r="H79" s="120"/>
      <c r="I79" s="103"/>
      <c r="J79" s="104" t="s">
        <v>52</v>
      </c>
      <c r="K79" s="7">
        <f t="shared" si="5"/>
        <v>20.36</v>
      </c>
    </row>
    <row r="80" spans="1:11" ht="12.75" customHeight="1" x14ac:dyDescent="0.25">
      <c r="A80" s="108"/>
      <c r="B80" s="108"/>
      <c r="C80" s="108"/>
      <c r="D80" s="207" t="s">
        <v>198</v>
      </c>
      <c r="E80" s="7" t="s">
        <v>195</v>
      </c>
      <c r="F80" s="103"/>
      <c r="G80" s="103">
        <v>31.71</v>
      </c>
      <c r="H80" s="120"/>
      <c r="I80" s="103"/>
      <c r="J80" s="104" t="s">
        <v>52</v>
      </c>
      <c r="K80" s="7">
        <f t="shared" si="5"/>
        <v>31.71</v>
      </c>
    </row>
    <row r="81" spans="1:13" ht="12.75" customHeight="1" x14ac:dyDescent="0.25">
      <c r="A81" s="108"/>
      <c r="B81" s="108"/>
      <c r="C81" s="108"/>
      <c r="D81" s="207" t="s">
        <v>199</v>
      </c>
      <c r="E81" s="7" t="s">
        <v>196</v>
      </c>
      <c r="F81" s="103"/>
      <c r="G81" s="103">
        <v>130.61000000000001</v>
      </c>
      <c r="H81" s="120"/>
      <c r="I81" s="103"/>
      <c r="J81" s="104" t="s">
        <v>52</v>
      </c>
      <c r="K81" s="7">
        <f t="shared" si="5"/>
        <v>130.61000000000001</v>
      </c>
    </row>
    <row r="82" spans="1:13" ht="12.75" customHeight="1" x14ac:dyDescent="0.2">
      <c r="A82" s="106"/>
      <c r="B82" s="107"/>
      <c r="C82" s="8"/>
      <c r="D82" s="11"/>
      <c r="E82" s="103"/>
      <c r="F82" s="103"/>
      <c r="G82" s="103"/>
      <c r="H82" s="103"/>
      <c r="I82" s="103"/>
      <c r="J82" s="11"/>
      <c r="K82" s="100">
        <f>SUM(K70:K81)</f>
        <v>2330.85</v>
      </c>
    </row>
    <row r="83" spans="1:13" ht="12.75" customHeight="1" x14ac:dyDescent="0.2">
      <c r="A83" s="106"/>
      <c r="B83" s="107"/>
      <c r="C83" s="8"/>
      <c r="D83" s="11"/>
      <c r="E83" s="103"/>
      <c r="F83" s="103"/>
      <c r="G83" s="103"/>
      <c r="H83" s="103"/>
      <c r="I83" s="103"/>
      <c r="J83" s="11"/>
      <c r="K83" s="7"/>
    </row>
    <row r="84" spans="1:13" ht="12.75" customHeight="1" x14ac:dyDescent="0.2">
      <c r="A84" s="55" t="str">
        <f>Planilha!A32</f>
        <v>4.2</v>
      </c>
      <c r="B84" s="56"/>
      <c r="C84" s="57"/>
      <c r="D84" s="372" t="str">
        <f>Planilha!D32</f>
        <v>DEMOLIÇÕES</v>
      </c>
      <c r="E84" s="373"/>
      <c r="F84" s="373"/>
      <c r="G84" s="373"/>
      <c r="H84" s="373"/>
      <c r="I84" s="373"/>
      <c r="J84" s="374"/>
      <c r="K84" s="58"/>
    </row>
    <row r="85" spans="1:13" ht="25.5" customHeight="1" x14ac:dyDescent="0.2">
      <c r="A85" s="108" t="str">
        <f>Planilha!A33</f>
        <v>4.2.1</v>
      </c>
      <c r="B85" s="108" t="str">
        <f>Planilha!B33</f>
        <v>SINAPI</v>
      </c>
      <c r="C85" s="108">
        <f>Planilha!C33</f>
        <v>104796</v>
      </c>
      <c r="D85" s="369" t="str">
        <f>Planilha!D33</f>
        <v>DEMOLIÇÃO DE GUIAS, SARJETAS OU SARJETÕES, DE FORMA MECANIZADA, SEM REAPROVEITAMENTO. AF_09/2023</v>
      </c>
      <c r="E85" s="370"/>
      <c r="F85" s="370"/>
      <c r="G85" s="370"/>
      <c r="H85" s="370"/>
      <c r="I85" s="370"/>
      <c r="J85" s="371"/>
      <c r="K85" s="7" t="str">
        <f>Planilha!E33</f>
        <v>M</v>
      </c>
    </row>
    <row r="86" spans="1:13" ht="12.75" customHeight="1" x14ac:dyDescent="0.2">
      <c r="A86" s="106"/>
      <c r="B86" s="107"/>
      <c r="C86" s="8"/>
      <c r="D86" s="11"/>
      <c r="E86" s="103" t="s">
        <v>88</v>
      </c>
      <c r="F86" s="103"/>
      <c r="G86" s="103" t="s">
        <v>141</v>
      </c>
      <c r="H86" s="103"/>
      <c r="I86" s="103" t="s">
        <v>85</v>
      </c>
      <c r="J86" s="11"/>
      <c r="K86" s="103" t="s">
        <v>140</v>
      </c>
    </row>
    <row r="87" spans="1:13" ht="12.75" customHeight="1" x14ac:dyDescent="0.25">
      <c r="A87" s="106"/>
      <c r="B87" s="107"/>
      <c r="C87" s="8"/>
      <c r="D87" s="17" t="s">
        <v>200</v>
      </c>
      <c r="E87" s="103"/>
      <c r="F87" s="103"/>
      <c r="G87" s="103"/>
      <c r="H87" s="103"/>
      <c r="I87" s="103">
        <v>169.5</v>
      </c>
      <c r="J87" s="11" t="s">
        <v>52</v>
      </c>
      <c r="K87" s="103">
        <f>I87</f>
        <v>169.5</v>
      </c>
      <c r="M87">
        <v>46</v>
      </c>
    </row>
    <row r="88" spans="1:13" ht="12.75" customHeight="1" x14ac:dyDescent="0.2">
      <c r="A88" s="106"/>
      <c r="B88" s="107"/>
      <c r="C88" s="8"/>
      <c r="D88" s="11"/>
      <c r="E88" s="103"/>
      <c r="F88" s="103"/>
      <c r="G88" s="103"/>
      <c r="H88" s="103"/>
      <c r="I88" s="103"/>
      <c r="J88" s="11"/>
      <c r="K88" s="100">
        <f>SUM(K87:K87)</f>
        <v>169.5</v>
      </c>
    </row>
    <row r="89" spans="1:13" ht="12.75" customHeight="1" x14ac:dyDescent="0.2">
      <c r="A89" s="106"/>
      <c r="B89" s="107"/>
      <c r="C89" s="8"/>
      <c r="D89" s="11"/>
      <c r="E89" s="103"/>
      <c r="F89" s="103"/>
      <c r="G89" s="103"/>
      <c r="H89" s="103"/>
      <c r="I89" s="103"/>
      <c r="J89" s="11"/>
      <c r="K89" s="7"/>
    </row>
    <row r="90" spans="1:13" ht="37.5" customHeight="1" x14ac:dyDescent="0.2">
      <c r="A90" s="108" t="str">
        <f>Planilha!A34</f>
        <v>4.2.2</v>
      </c>
      <c r="B90" s="108" t="str">
        <f>Planilha!B34</f>
        <v>SINAPI</v>
      </c>
      <c r="C90" s="108">
        <f>Planilha!C34</f>
        <v>100974</v>
      </c>
      <c r="D90" s="375" t="str">
        <f>Planilha!D34</f>
        <v>CARGA, MANOBRA E DESCARGA DE SOLOS E MATERIAIS GRANULARES EM CAMINHÃO BASCULANTE 10 M³ - CARGA COM PÁ CARREGADEIRA (CAÇAMBA DE 1,7 A 2,8 M³ / 128 HP) E DESCARGA LIVRE (UNIDADE: M3). AF_07/2020</v>
      </c>
      <c r="E90" s="376"/>
      <c r="F90" s="376"/>
      <c r="G90" s="376"/>
      <c r="H90" s="376"/>
      <c r="I90" s="376"/>
      <c r="J90" s="377"/>
      <c r="K90" s="7" t="str">
        <f>Planilha!E34</f>
        <v>M³</v>
      </c>
    </row>
    <row r="91" spans="1:13" ht="12.75" customHeight="1" x14ac:dyDescent="0.2">
      <c r="A91" s="106"/>
      <c r="B91" s="107"/>
      <c r="C91" s="8"/>
      <c r="D91" s="11"/>
      <c r="E91" s="103" t="s">
        <v>88</v>
      </c>
      <c r="F91" s="103"/>
      <c r="G91" s="103" t="s">
        <v>137</v>
      </c>
      <c r="H91" s="103"/>
      <c r="I91" s="103" t="s">
        <v>85</v>
      </c>
      <c r="J91" s="11"/>
      <c r="K91" s="7" t="s">
        <v>138</v>
      </c>
    </row>
    <row r="92" spans="1:13" ht="12.75" customHeight="1" x14ac:dyDescent="0.25">
      <c r="A92" s="106"/>
      <c r="B92" s="107"/>
      <c r="C92" s="8"/>
      <c r="D92" s="17" t="s">
        <v>200</v>
      </c>
      <c r="E92" s="103">
        <v>0.35</v>
      </c>
      <c r="F92" s="103" t="s">
        <v>82</v>
      </c>
      <c r="G92" s="103">
        <v>0.15</v>
      </c>
      <c r="H92" s="103" t="s">
        <v>82</v>
      </c>
      <c r="I92" s="103">
        <f>K87</f>
        <v>169.5</v>
      </c>
      <c r="J92" s="11" t="s">
        <v>52</v>
      </c>
      <c r="K92" s="103">
        <f>ROUND(E92*G92*I92,2)</f>
        <v>8.9</v>
      </c>
    </row>
    <row r="93" spans="1:13" ht="12.75" customHeight="1" x14ac:dyDescent="0.2">
      <c r="A93" s="106"/>
      <c r="B93" s="107"/>
      <c r="C93" s="8"/>
      <c r="D93" s="11"/>
      <c r="E93" s="103"/>
      <c r="F93" s="103"/>
      <c r="G93" s="103"/>
      <c r="H93" s="103"/>
      <c r="I93" s="103"/>
      <c r="J93" s="11"/>
      <c r="K93" s="100">
        <f>SUM(K92:K92)</f>
        <v>8.9</v>
      </c>
    </row>
    <row r="94" spans="1:13" ht="12.75" customHeight="1" x14ac:dyDescent="0.2">
      <c r="A94" s="106"/>
      <c r="B94" s="107"/>
      <c r="C94" s="8"/>
      <c r="D94" s="11"/>
      <c r="E94" s="103"/>
      <c r="F94" s="103"/>
      <c r="G94" s="103"/>
      <c r="H94" s="103"/>
      <c r="I94" s="103"/>
      <c r="J94" s="11"/>
      <c r="K94" s="7"/>
    </row>
    <row r="95" spans="1:13" ht="29.25" customHeight="1" x14ac:dyDescent="0.2">
      <c r="A95" s="108" t="str">
        <f>Planilha!A35</f>
        <v>4.2.3</v>
      </c>
      <c r="B95" s="108" t="str">
        <f>Planilha!B35</f>
        <v>SINAPI</v>
      </c>
      <c r="C95" s="108">
        <f>Planilha!C35</f>
        <v>95877</v>
      </c>
      <c r="D95" s="375" t="str">
        <f>Planilha!D35</f>
        <v>TRANSPORTE COM CAMINHÃO BASCULANTE DE 18 M³, EM VIA URBANA PAVIMENTADA, DMT ATÉ 30 KM (UNIDADE: M3XKM). AF_07/2020</v>
      </c>
      <c r="E95" s="376"/>
      <c r="F95" s="376"/>
      <c r="G95" s="376"/>
      <c r="H95" s="376"/>
      <c r="I95" s="376"/>
      <c r="J95" s="377"/>
      <c r="K95" s="7" t="str">
        <f>Planilha!E35</f>
        <v>M³xKM</v>
      </c>
    </row>
    <row r="96" spans="1:13" ht="12.75" customHeight="1" x14ac:dyDescent="0.2">
      <c r="A96" s="106"/>
      <c r="B96" s="107"/>
      <c r="C96" s="8"/>
      <c r="D96" s="11"/>
      <c r="E96" s="103" t="s">
        <v>88</v>
      </c>
      <c r="F96" s="103"/>
      <c r="G96" s="103" t="s">
        <v>139</v>
      </c>
      <c r="H96" s="103"/>
      <c r="I96" s="103" t="s">
        <v>84</v>
      </c>
      <c r="J96" s="11"/>
      <c r="K96" s="7" t="s">
        <v>83</v>
      </c>
    </row>
    <row r="97" spans="1:11" ht="12.75" customHeight="1" x14ac:dyDescent="0.25">
      <c r="A97" s="106"/>
      <c r="B97" s="107"/>
      <c r="C97" s="8"/>
      <c r="D97" s="17" t="s">
        <v>217</v>
      </c>
      <c r="E97" s="103"/>
      <c r="F97" s="103"/>
      <c r="G97" s="7">
        <f>K93</f>
        <v>8.9</v>
      </c>
      <c r="H97" s="103" t="s">
        <v>82</v>
      </c>
      <c r="I97" s="103">
        <v>5</v>
      </c>
      <c r="J97" s="11" t="s">
        <v>52</v>
      </c>
      <c r="K97" s="7">
        <f>ROUND(G97*I97,2)</f>
        <v>44.5</v>
      </c>
    </row>
    <row r="98" spans="1:11" ht="12.75" customHeight="1" x14ac:dyDescent="0.2">
      <c r="A98" s="106"/>
      <c r="B98" s="107"/>
      <c r="C98" s="8"/>
      <c r="D98" s="11"/>
      <c r="E98" s="103"/>
      <c r="F98" s="103"/>
      <c r="G98" s="103"/>
      <c r="H98" s="103"/>
      <c r="I98" s="103"/>
      <c r="J98" s="11"/>
      <c r="K98" s="100">
        <f>SUM(K97:K97)</f>
        <v>44.5</v>
      </c>
    </row>
    <row r="99" spans="1:11" ht="12.75" customHeight="1" x14ac:dyDescent="0.2">
      <c r="A99" s="106"/>
      <c r="B99" s="107"/>
      <c r="C99" s="8"/>
      <c r="D99" s="11"/>
      <c r="E99" s="103"/>
      <c r="F99" s="103"/>
      <c r="G99" s="103"/>
      <c r="H99" s="103"/>
      <c r="I99" s="103"/>
      <c r="J99" s="11"/>
      <c r="K99" s="7"/>
    </row>
    <row r="100" spans="1:11" ht="12.75" customHeight="1" x14ac:dyDescent="0.2">
      <c r="A100" s="109" t="str">
        <f>Planilha!A37</f>
        <v>4.3</v>
      </c>
      <c r="B100" s="56"/>
      <c r="C100" s="57"/>
      <c r="D100" s="378" t="str">
        <f>Planilha!D37</f>
        <v>MURETAS E PAVIMENTAÇÃO</v>
      </c>
      <c r="E100" s="378"/>
      <c r="F100" s="378"/>
      <c r="G100" s="378"/>
      <c r="H100" s="378"/>
      <c r="I100" s="378"/>
      <c r="J100" s="378"/>
      <c r="K100" s="58"/>
    </row>
    <row r="101" spans="1:11" ht="38.25" customHeight="1" x14ac:dyDescent="0.2">
      <c r="A101" s="108" t="str">
        <f>Planilha!A38</f>
        <v>4.3.1</v>
      </c>
      <c r="B101" s="108" t="str">
        <f>Planilha!B38</f>
        <v>COMPOSIÇÃO</v>
      </c>
      <c r="C101" s="108" t="str">
        <f>Planilha!C38</f>
        <v>CPU-002</v>
      </c>
      <c r="D101" s="331" t="str">
        <f>Planilha!D38</f>
        <v>MURETA/ENCHIMENTO EM CONCRETO CICLÓPICO, ESP. DE 15CM, ALTURA MÉDIA IGUAL A 0,4 M. INCLUSIVE ESCAVAÇÕES, MONTAGEM E DESMONTAGEM DE FORMA, CONCRETAGEM, CHAPISCO E RECOBO (ESP.=25MM). (SOB CERCA NYLOFOR EXISTENTE)</v>
      </c>
      <c r="E101" s="331"/>
      <c r="F101" s="331"/>
      <c r="G101" s="331"/>
      <c r="H101" s="331"/>
      <c r="I101" s="331"/>
      <c r="J101" s="331"/>
      <c r="K101" s="7" t="str">
        <f>Planilha!E38</f>
        <v>M</v>
      </c>
    </row>
    <row r="102" spans="1:11" ht="12.75" customHeight="1" x14ac:dyDescent="0.2">
      <c r="A102" s="106"/>
      <c r="B102" s="107"/>
      <c r="C102" s="8"/>
      <c r="D102" s="11"/>
      <c r="E102" s="11"/>
      <c r="F102" s="11"/>
      <c r="G102" s="11"/>
      <c r="H102" s="11"/>
      <c r="I102" s="11"/>
      <c r="J102" s="11"/>
      <c r="K102" s="11" t="s">
        <v>85</v>
      </c>
    </row>
    <row r="103" spans="1:11" ht="12.75" customHeight="1" x14ac:dyDescent="0.25">
      <c r="A103" s="106"/>
      <c r="B103" s="107"/>
      <c r="C103" s="8"/>
      <c r="D103" s="103" t="s">
        <v>246</v>
      </c>
      <c r="E103" s="7" t="s">
        <v>262</v>
      </c>
      <c r="F103" s="103"/>
      <c r="G103" s="103"/>
      <c r="H103" s="103"/>
      <c r="I103" s="103"/>
      <c r="J103" s="104" t="s">
        <v>52</v>
      </c>
      <c r="K103" s="103">
        <v>14</v>
      </c>
    </row>
    <row r="104" spans="1:11" ht="12.75" customHeight="1" x14ac:dyDescent="0.25">
      <c r="A104" s="106"/>
      <c r="B104" s="107"/>
      <c r="C104" s="8"/>
      <c r="D104" s="103"/>
      <c r="E104" s="7" t="s">
        <v>262</v>
      </c>
      <c r="F104" s="103"/>
      <c r="G104" s="103"/>
      <c r="H104" s="103"/>
      <c r="I104" s="103"/>
      <c r="J104" s="104" t="s">
        <v>52</v>
      </c>
      <c r="K104" s="103">
        <v>13.83</v>
      </c>
    </row>
    <row r="105" spans="1:11" ht="12.75" customHeight="1" x14ac:dyDescent="0.25">
      <c r="A105" s="106"/>
      <c r="B105" s="107"/>
      <c r="C105" s="8"/>
      <c r="D105" s="103"/>
      <c r="E105" s="7" t="s">
        <v>262</v>
      </c>
      <c r="F105" s="103"/>
      <c r="G105" s="103"/>
      <c r="H105" s="103"/>
      <c r="I105" s="103"/>
      <c r="J105" s="104" t="s">
        <v>52</v>
      </c>
      <c r="K105" s="103">
        <v>7.48</v>
      </c>
    </row>
    <row r="106" spans="1:11" ht="12.75" customHeight="1" x14ac:dyDescent="0.25">
      <c r="A106" s="106"/>
      <c r="B106" s="107"/>
      <c r="C106" s="8"/>
      <c r="D106" s="103"/>
      <c r="E106" s="7" t="s">
        <v>263</v>
      </c>
      <c r="F106" s="103"/>
      <c r="G106" s="103"/>
      <c r="H106" s="103"/>
      <c r="I106" s="103"/>
      <c r="J106" s="104" t="s">
        <v>52</v>
      </c>
      <c r="K106" s="103">
        <v>21.75</v>
      </c>
    </row>
    <row r="107" spans="1:11" ht="12.75" customHeight="1" x14ac:dyDescent="0.25">
      <c r="A107" s="106"/>
      <c r="B107" s="107"/>
      <c r="C107" s="8"/>
      <c r="D107" s="103"/>
      <c r="E107" s="7" t="s">
        <v>263</v>
      </c>
      <c r="F107" s="103"/>
      <c r="G107" s="103"/>
      <c r="H107" s="103"/>
      <c r="I107" s="103"/>
      <c r="J107" s="104" t="s">
        <v>52</v>
      </c>
      <c r="K107" s="103">
        <v>28.39</v>
      </c>
    </row>
    <row r="108" spans="1:11" ht="12.75" customHeight="1" x14ac:dyDescent="0.25">
      <c r="A108" s="106"/>
      <c r="B108" s="107"/>
      <c r="C108" s="8"/>
      <c r="D108" s="103"/>
      <c r="E108" s="7" t="s">
        <v>263</v>
      </c>
      <c r="F108" s="103"/>
      <c r="G108" s="103"/>
      <c r="H108" s="103"/>
      <c r="I108" s="103"/>
      <c r="J108" s="104" t="s">
        <v>52</v>
      </c>
      <c r="K108" s="103">
        <v>22.72</v>
      </c>
    </row>
    <row r="109" spans="1:11" ht="12.75" customHeight="1" x14ac:dyDescent="0.2">
      <c r="A109" s="106"/>
      <c r="B109" s="107"/>
      <c r="C109" s="8"/>
      <c r="D109" s="11"/>
      <c r="E109" s="11"/>
      <c r="F109" s="11"/>
      <c r="G109" s="11"/>
      <c r="H109" s="11"/>
      <c r="I109" s="11" t="s">
        <v>15</v>
      </c>
      <c r="J109" s="11" t="s">
        <v>52</v>
      </c>
      <c r="K109" s="100">
        <f>SUM(K103:K108)</f>
        <v>108.17</v>
      </c>
    </row>
    <row r="110" spans="1:11" ht="12.75" customHeight="1" x14ac:dyDescent="0.2">
      <c r="A110" s="106"/>
      <c r="B110" s="107"/>
      <c r="C110" s="8"/>
      <c r="D110" s="89"/>
      <c r="E110" s="90"/>
      <c r="F110" s="90"/>
      <c r="G110" s="99"/>
      <c r="H110" s="90"/>
      <c r="I110" s="90"/>
      <c r="J110" s="91"/>
      <c r="K110" s="7"/>
    </row>
    <row r="111" spans="1:11" ht="52.5" customHeight="1" x14ac:dyDescent="0.2">
      <c r="A111" s="108" t="str">
        <f>Planilha!A39</f>
        <v>4.3.2</v>
      </c>
      <c r="B111" s="108" t="str">
        <f>Planilha!B39</f>
        <v>COMPOSIÇÃO</v>
      </c>
      <c r="C111" s="108" t="str">
        <f>Planilha!C39</f>
        <v>CPU-003</v>
      </c>
      <c r="D111" s="332" t="str">
        <f>Planilha!D39</f>
        <v>MURETA EM BLOCO DE CONCRETO CHEIO, COM ESPESSURA ACABADA DE 20CM,  ALTURA DE 40CM, BLOCO DE 15CM, COM BASE EM CONCRETO CICLÓPICO 20X20CM, INCLUSIVE ESCAVAÇÃO COM TRANSPORTE E RETIRADA DO MATERIAL ESCAVADO (EM CAÇAMBA), IMPERMEABILIZAÇÃO, CHAPISCO E REBOCO (ESP.=25MM)</v>
      </c>
      <c r="E111" s="332"/>
      <c r="F111" s="332"/>
      <c r="G111" s="332"/>
      <c r="H111" s="332"/>
      <c r="I111" s="332"/>
      <c r="J111" s="332"/>
      <c r="K111" s="7" t="str">
        <f>Planilha!E39</f>
        <v>M</v>
      </c>
    </row>
    <row r="112" spans="1:11" ht="12.75" customHeight="1" x14ac:dyDescent="0.2">
      <c r="A112" s="106"/>
      <c r="B112" s="107"/>
      <c r="C112" s="8"/>
      <c r="D112" s="11"/>
      <c r="E112" s="11"/>
      <c r="F112" s="11"/>
      <c r="G112" s="11"/>
      <c r="H112" s="11"/>
      <c r="I112" s="11"/>
      <c r="J112" s="11"/>
      <c r="K112" s="11" t="s">
        <v>85</v>
      </c>
    </row>
    <row r="113" spans="1:12" ht="12.75" customHeight="1" x14ac:dyDescent="0.25">
      <c r="A113" s="106"/>
      <c r="B113" s="107"/>
      <c r="C113" s="8"/>
      <c r="D113" s="17" t="s">
        <v>257</v>
      </c>
      <c r="E113" s="11"/>
      <c r="F113" s="11"/>
      <c r="G113" s="103"/>
      <c r="H113" s="103"/>
      <c r="I113" s="103"/>
      <c r="J113" s="11" t="s">
        <v>52</v>
      </c>
      <c r="K113" s="103">
        <v>3.51</v>
      </c>
      <c r="L113" s="103">
        <f>(24.33+25.98)/2</f>
        <v>25.16</v>
      </c>
    </row>
    <row r="114" spans="1:12" ht="12.75" customHeight="1" x14ac:dyDescent="0.25">
      <c r="A114" s="106"/>
      <c r="B114" s="107"/>
      <c r="C114" s="8"/>
      <c r="D114" s="17"/>
      <c r="E114" s="11"/>
      <c r="F114" s="11"/>
      <c r="G114" s="103"/>
      <c r="H114" s="103"/>
      <c r="I114" s="103"/>
      <c r="J114" s="11" t="s">
        <v>52</v>
      </c>
      <c r="K114" s="103">
        <v>9.6300000000000008</v>
      </c>
      <c r="L114" s="103">
        <f>(32.72+33.84)/2</f>
        <v>33.28</v>
      </c>
    </row>
    <row r="115" spans="1:12" ht="12.75" customHeight="1" x14ac:dyDescent="0.25">
      <c r="A115" s="106"/>
      <c r="B115" s="107"/>
      <c r="C115" s="8"/>
      <c r="D115" s="17"/>
      <c r="E115" s="11"/>
      <c r="F115" s="11"/>
      <c r="G115" s="103"/>
      <c r="H115" s="103"/>
      <c r="I115" s="103"/>
      <c r="J115" s="11" t="s">
        <v>52</v>
      </c>
      <c r="K115" s="103">
        <v>7.21</v>
      </c>
      <c r="L115" s="103">
        <f>(8.7+10.78)/2</f>
        <v>9.74</v>
      </c>
    </row>
    <row r="116" spans="1:12" ht="12.75" customHeight="1" x14ac:dyDescent="0.25">
      <c r="A116" s="106"/>
      <c r="B116" s="107"/>
      <c r="C116" s="8"/>
      <c r="D116" s="17"/>
      <c r="E116" s="11"/>
      <c r="F116" s="11"/>
      <c r="G116" s="103"/>
      <c r="H116" s="103"/>
      <c r="I116" s="103"/>
      <c r="J116" s="11" t="s">
        <v>52</v>
      </c>
      <c r="K116" s="103">
        <v>10.63</v>
      </c>
      <c r="L116" s="103">
        <f>(19.6+20.97)/2</f>
        <v>20.29</v>
      </c>
    </row>
    <row r="117" spans="1:12" ht="12.75" customHeight="1" x14ac:dyDescent="0.25">
      <c r="A117" s="106"/>
      <c r="B117" s="107"/>
      <c r="C117" s="8"/>
      <c r="D117" s="17"/>
      <c r="E117" s="11"/>
      <c r="F117" s="11"/>
      <c r="G117" s="103"/>
      <c r="H117" s="103"/>
      <c r="I117" s="103"/>
      <c r="J117" s="11" t="s">
        <v>52</v>
      </c>
      <c r="K117" s="103">
        <v>12.99</v>
      </c>
      <c r="L117" s="103">
        <f>(29.07+31.07)/2</f>
        <v>30.07</v>
      </c>
    </row>
    <row r="118" spans="1:12" ht="12.75" customHeight="1" x14ac:dyDescent="0.25">
      <c r="A118" s="106"/>
      <c r="B118" s="107"/>
      <c r="C118" s="8"/>
      <c r="D118" s="17" t="s">
        <v>271</v>
      </c>
      <c r="E118" s="11">
        <v>1.2</v>
      </c>
      <c r="F118" s="11" t="s">
        <v>82</v>
      </c>
      <c r="G118" s="103">
        <v>1.4</v>
      </c>
      <c r="H118" s="103" t="s">
        <v>82</v>
      </c>
      <c r="I118" s="210">
        <v>-2</v>
      </c>
      <c r="J118" s="11" t="s">
        <v>52</v>
      </c>
      <c r="K118" s="210">
        <f>E118*G118*I118</f>
        <v>-3.36</v>
      </c>
      <c r="L118" s="209"/>
    </row>
    <row r="119" spans="1:12" ht="12.75" customHeight="1" x14ac:dyDescent="0.2">
      <c r="A119" s="106"/>
      <c r="B119" s="107"/>
      <c r="C119" s="8"/>
      <c r="D119" s="11"/>
      <c r="E119" s="11"/>
      <c r="F119" s="11"/>
      <c r="G119" s="84"/>
      <c r="H119" s="11"/>
      <c r="I119" s="11" t="str">
        <f>I109</f>
        <v>TOTAL</v>
      </c>
      <c r="J119" s="11" t="s">
        <v>52</v>
      </c>
      <c r="K119" s="100">
        <f>SUM(K113:K118)</f>
        <v>40.61</v>
      </c>
    </row>
    <row r="120" spans="1:12" ht="12.75" customHeight="1" x14ac:dyDescent="0.2">
      <c r="A120" s="106"/>
      <c r="B120" s="107"/>
      <c r="C120" s="8"/>
      <c r="D120" s="89"/>
      <c r="E120" s="90"/>
      <c r="F120" s="90"/>
      <c r="G120" s="99"/>
      <c r="H120" s="90"/>
      <c r="I120" s="90"/>
      <c r="J120" s="91"/>
      <c r="K120" s="7"/>
    </row>
    <row r="121" spans="1:12" ht="39.75" customHeight="1" x14ac:dyDescent="0.2">
      <c r="A121" s="108" t="str">
        <f>Planilha!A40</f>
        <v>4.3.3</v>
      </c>
      <c r="B121" s="108" t="str">
        <f>Planilha!B40</f>
        <v>SICOR-MG</v>
      </c>
      <c r="C121" s="108" t="str">
        <f>Planilha!C40</f>
        <v>ED-51135</v>
      </c>
      <c r="D121" s="331" t="str">
        <f>Planilha!D40</f>
        <v>GUIA DE CORDÃO BOLEADO, EM CONCRETO COM FCK 20MPA, PRÉ-MOLDADA, 10X10CM (ALTURA X LARGURA), INCLUSIVE UMA (1) FIADA DE BLOCO DE CONCRETO, ESP. 9CM, ESCAVAÇÃO, APILOAMENTO E TRANSPORTE COM RETIRADA DO MATERIAL ESCAVADO (EM CAÇAMBA)</v>
      </c>
      <c r="E121" s="331"/>
      <c r="F121" s="331"/>
      <c r="G121" s="331"/>
      <c r="H121" s="331"/>
      <c r="I121" s="331"/>
      <c r="J121" s="331"/>
      <c r="K121" s="7" t="str">
        <f>Planilha!E40</f>
        <v>M</v>
      </c>
    </row>
    <row r="122" spans="1:12" ht="12.75" customHeight="1" x14ac:dyDescent="0.2">
      <c r="A122" s="106"/>
      <c r="B122" s="107"/>
      <c r="C122" s="8"/>
      <c r="D122" s="11"/>
      <c r="E122" s="11"/>
      <c r="F122" s="11"/>
      <c r="G122" s="11"/>
      <c r="H122" s="11"/>
      <c r="I122" s="11"/>
      <c r="J122" s="11"/>
      <c r="K122" s="11" t="s">
        <v>85</v>
      </c>
    </row>
    <row r="123" spans="1:12" ht="12.75" customHeight="1" x14ac:dyDescent="0.25">
      <c r="A123" s="106"/>
      <c r="B123" s="107"/>
      <c r="C123" s="8"/>
      <c r="D123" s="17" t="s">
        <v>247</v>
      </c>
      <c r="E123" s="11"/>
      <c r="F123" s="11"/>
      <c r="G123" s="103"/>
      <c r="H123" s="103"/>
      <c r="I123" s="103"/>
      <c r="J123" s="11" t="s">
        <v>52</v>
      </c>
      <c r="K123" s="103">
        <v>25.98</v>
      </c>
    </row>
    <row r="124" spans="1:12" ht="12.75" customHeight="1" x14ac:dyDescent="0.25">
      <c r="A124" s="106"/>
      <c r="B124" s="107"/>
      <c r="C124" s="8"/>
      <c r="D124" s="17" t="s">
        <v>248</v>
      </c>
      <c r="E124" s="11"/>
      <c r="F124" s="11"/>
      <c r="G124" s="103"/>
      <c r="H124" s="103"/>
      <c r="I124" s="103"/>
      <c r="J124" s="11" t="s">
        <v>52</v>
      </c>
      <c r="K124" s="103">
        <v>33.840000000000003</v>
      </c>
    </row>
    <row r="125" spans="1:12" ht="12.75" customHeight="1" x14ac:dyDescent="0.25">
      <c r="A125" s="106"/>
      <c r="B125" s="107"/>
      <c r="C125" s="8"/>
      <c r="D125" s="17" t="s">
        <v>249</v>
      </c>
      <c r="E125" s="11"/>
      <c r="F125" s="11"/>
      <c r="G125" s="103"/>
      <c r="H125" s="103"/>
      <c r="I125" s="103"/>
      <c r="J125" s="11" t="s">
        <v>52</v>
      </c>
      <c r="K125" s="103">
        <v>10.78</v>
      </c>
    </row>
    <row r="126" spans="1:12" ht="12.75" customHeight="1" x14ac:dyDescent="0.25">
      <c r="A126" s="106"/>
      <c r="B126" s="107"/>
      <c r="C126" s="8"/>
      <c r="D126" s="17" t="s">
        <v>250</v>
      </c>
      <c r="E126" s="11"/>
      <c r="F126" s="11"/>
      <c r="G126" s="103"/>
      <c r="H126" s="103"/>
      <c r="I126" s="103"/>
      <c r="J126" s="11" t="s">
        <v>52</v>
      </c>
      <c r="K126" s="103">
        <v>20.97</v>
      </c>
    </row>
    <row r="127" spans="1:12" ht="12.75" customHeight="1" x14ac:dyDescent="0.25">
      <c r="A127" s="106"/>
      <c r="B127" s="107"/>
      <c r="C127" s="8"/>
      <c r="D127" s="17" t="s">
        <v>251</v>
      </c>
      <c r="E127" s="11"/>
      <c r="F127" s="11"/>
      <c r="G127" s="103"/>
      <c r="H127" s="103"/>
      <c r="I127" s="103"/>
      <c r="J127" s="11" t="s">
        <v>52</v>
      </c>
      <c r="K127" s="103">
        <v>31.07</v>
      </c>
    </row>
    <row r="128" spans="1:12" ht="12.75" customHeight="1" x14ac:dyDescent="0.2">
      <c r="A128" s="106"/>
      <c r="B128" s="107"/>
      <c r="C128" s="8"/>
      <c r="D128" s="11"/>
      <c r="E128" s="11"/>
      <c r="F128" s="11"/>
      <c r="G128" s="84"/>
      <c r="H128" s="11"/>
      <c r="I128" s="11" t="str">
        <f>I119</f>
        <v>TOTAL</v>
      </c>
      <c r="J128" s="11" t="s">
        <v>52</v>
      </c>
      <c r="K128" s="100">
        <f>SUM(K123:K127)</f>
        <v>122.64</v>
      </c>
    </row>
    <row r="129" spans="1:11" ht="12.75" customHeight="1" x14ac:dyDescent="0.2">
      <c r="A129" s="106"/>
      <c r="B129" s="107"/>
      <c r="C129" s="8"/>
      <c r="D129" s="89"/>
      <c r="E129" s="90"/>
      <c r="F129" s="90"/>
      <c r="G129" s="99"/>
      <c r="H129" s="90"/>
      <c r="I129" s="90"/>
      <c r="J129" s="91"/>
      <c r="K129" s="7"/>
    </row>
    <row r="130" spans="1:11" ht="39" customHeight="1" x14ac:dyDescent="0.2">
      <c r="A130" s="108" t="str">
        <f>Planilha!A41</f>
        <v>4.3.4</v>
      </c>
      <c r="B130" s="108" t="str">
        <f>Planilha!B41</f>
        <v>SINAPI</v>
      </c>
      <c r="C130" s="108">
        <f>Planilha!C41</f>
        <v>94273</v>
      </c>
      <c r="D130" s="361" t="str">
        <f>Planilha!D41</f>
        <v>ASSENTAMENTO DE GUIA (MEIO-FIO) EM TRECHO RETO, CONFECCIONADA EM CONCRETO PRÉ-FABRICADO, DIMENSÕES 100X15X13X30 CM (COMPRIMENTO X BASE INFERIOR X BASE SUPERIOR X ALTURA). AF_01/2024</v>
      </c>
      <c r="E130" s="362"/>
      <c r="F130" s="362"/>
      <c r="G130" s="362"/>
      <c r="H130" s="362"/>
      <c r="I130" s="362"/>
      <c r="J130" s="363"/>
      <c r="K130" s="7" t="str">
        <f>Planilha!E41</f>
        <v>M</v>
      </c>
    </row>
    <row r="131" spans="1:11" ht="12.75" customHeight="1" x14ac:dyDescent="0.2">
      <c r="A131" s="106"/>
      <c r="B131" s="107"/>
      <c r="C131" s="8"/>
      <c r="D131" s="11"/>
      <c r="E131" s="11"/>
      <c r="F131" s="11"/>
      <c r="G131" s="11"/>
      <c r="H131" s="11"/>
      <c r="I131" s="11"/>
      <c r="J131" s="11"/>
      <c r="K131" s="11" t="s">
        <v>85</v>
      </c>
    </row>
    <row r="132" spans="1:11" ht="12.75" customHeight="1" x14ac:dyDescent="0.25">
      <c r="A132" s="106"/>
      <c r="B132" s="107"/>
      <c r="C132" s="8"/>
      <c r="D132" s="17" t="s">
        <v>264</v>
      </c>
      <c r="E132" s="11"/>
      <c r="F132" s="11"/>
      <c r="G132" s="103"/>
      <c r="H132" s="103"/>
      <c r="I132" s="103"/>
      <c r="J132" s="11" t="s">
        <v>52</v>
      </c>
      <c r="K132" s="7">
        <v>98.85</v>
      </c>
    </row>
    <row r="133" spans="1:11" ht="12.75" customHeight="1" x14ac:dyDescent="0.25">
      <c r="A133" s="106"/>
      <c r="B133" s="107"/>
      <c r="C133" s="8"/>
      <c r="D133" s="17" t="s">
        <v>265</v>
      </c>
      <c r="E133" s="11"/>
      <c r="F133" s="11"/>
      <c r="G133" s="103"/>
      <c r="H133" s="103"/>
      <c r="I133" s="103"/>
      <c r="J133" s="11" t="s">
        <v>52</v>
      </c>
      <c r="K133" s="7">
        <v>16.98</v>
      </c>
    </row>
    <row r="134" spans="1:11" ht="12.75" customHeight="1" x14ac:dyDescent="0.25">
      <c r="A134" s="106"/>
      <c r="B134" s="107"/>
      <c r="C134" s="8"/>
      <c r="D134" s="17" t="s">
        <v>266</v>
      </c>
      <c r="E134" s="11"/>
      <c r="F134" s="11"/>
      <c r="G134" s="103"/>
      <c r="H134" s="103"/>
      <c r="I134" s="103"/>
      <c r="J134" s="11" t="s">
        <v>52</v>
      </c>
      <c r="K134" s="7">
        <v>103.27</v>
      </c>
    </row>
    <row r="135" spans="1:11" ht="12.75" customHeight="1" x14ac:dyDescent="0.25">
      <c r="A135" s="106"/>
      <c r="B135" s="107"/>
      <c r="C135" s="8"/>
      <c r="D135" s="17" t="s">
        <v>267</v>
      </c>
      <c r="E135" s="11"/>
      <c r="F135" s="11"/>
      <c r="G135" s="103"/>
      <c r="H135" s="103"/>
      <c r="I135" s="103"/>
      <c r="J135" s="11" t="s">
        <v>52</v>
      </c>
      <c r="K135" s="7">
        <v>69.08</v>
      </c>
    </row>
    <row r="136" spans="1:11" ht="12.75" customHeight="1" x14ac:dyDescent="0.25">
      <c r="A136" s="106"/>
      <c r="B136" s="107"/>
      <c r="C136" s="8"/>
      <c r="D136" s="17" t="s">
        <v>258</v>
      </c>
      <c r="E136" s="11"/>
      <c r="F136" s="11"/>
      <c r="G136" s="103"/>
      <c r="H136" s="103"/>
      <c r="I136" s="103"/>
      <c r="J136" s="11" t="s">
        <v>52</v>
      </c>
      <c r="K136" s="7">
        <v>169.5</v>
      </c>
    </row>
    <row r="137" spans="1:11" ht="12.75" customHeight="1" x14ac:dyDescent="0.25">
      <c r="A137" s="106"/>
      <c r="B137" s="107"/>
      <c r="C137" s="8"/>
      <c r="D137" s="17"/>
      <c r="E137" s="11"/>
      <c r="F137" s="11"/>
      <c r="G137" s="103"/>
      <c r="H137" s="103"/>
      <c r="I137" s="103" t="str">
        <f>I128</f>
        <v>TOTAL</v>
      </c>
      <c r="J137" s="11" t="s">
        <v>52</v>
      </c>
      <c r="K137" s="100">
        <f>SUM(K132:K136)</f>
        <v>457.68</v>
      </c>
    </row>
    <row r="138" spans="1:11" ht="6.75" customHeight="1" x14ac:dyDescent="0.25">
      <c r="A138" s="106"/>
      <c r="B138" s="107"/>
      <c r="C138" s="8"/>
      <c r="D138" s="17"/>
      <c r="E138" s="11"/>
      <c r="F138" s="11"/>
      <c r="G138" s="103"/>
      <c r="H138" s="103"/>
      <c r="I138" s="103"/>
      <c r="J138" s="11"/>
      <c r="K138" s="7"/>
    </row>
    <row r="139" spans="1:11" ht="25.5" customHeight="1" x14ac:dyDescent="0.2">
      <c r="A139" s="108" t="str">
        <f>Planilha!A42</f>
        <v>4.3.5</v>
      </c>
      <c r="B139" s="108" t="str">
        <f>Planilha!B42</f>
        <v>SINAPI</v>
      </c>
      <c r="C139" s="108">
        <f>Planilha!C42</f>
        <v>93681</v>
      </c>
      <c r="D139" s="359" t="str">
        <f>Planilha!D42</f>
        <v>EXECUÇÃO DE PAVIMENTO EM PISO INTERTRAVADO, COM BLOCO RETANGULAR COLORIDO DE 20 X 10 CM, ESPESSURA 8 CM. AF_10/2022</v>
      </c>
      <c r="E139" s="359"/>
      <c r="F139" s="359"/>
      <c r="G139" s="359"/>
      <c r="H139" s="359"/>
      <c r="I139" s="359"/>
      <c r="J139" s="359"/>
      <c r="K139" s="7" t="str">
        <f>Planilha!E42</f>
        <v>M²</v>
      </c>
    </row>
    <row r="140" spans="1:11" ht="12.75" customHeight="1" x14ac:dyDescent="0.2">
      <c r="A140" s="106"/>
      <c r="B140" s="107"/>
      <c r="C140" s="8"/>
      <c r="D140" s="103"/>
      <c r="E140" s="11"/>
      <c r="F140" s="11"/>
      <c r="G140" s="11"/>
      <c r="H140" s="11"/>
      <c r="I140" s="11"/>
      <c r="J140" s="11"/>
      <c r="K140" s="11" t="s">
        <v>85</v>
      </c>
    </row>
    <row r="141" spans="1:11" ht="12.75" customHeight="1" x14ac:dyDescent="0.25">
      <c r="A141" s="106"/>
      <c r="B141" s="107"/>
      <c r="C141" s="8"/>
      <c r="D141" s="17" t="s">
        <v>259</v>
      </c>
      <c r="E141" s="11"/>
      <c r="F141" s="11"/>
      <c r="G141" s="103"/>
      <c r="H141" s="103"/>
      <c r="I141" s="103"/>
      <c r="J141" s="11" t="s">
        <v>52</v>
      </c>
      <c r="K141" s="7">
        <v>103.34</v>
      </c>
    </row>
    <row r="142" spans="1:11" ht="12.75" customHeight="1" x14ac:dyDescent="0.25">
      <c r="A142" s="106"/>
      <c r="B142" s="107"/>
      <c r="C142" s="8"/>
      <c r="D142" s="17" t="s">
        <v>260</v>
      </c>
      <c r="E142" s="11"/>
      <c r="F142" s="11"/>
      <c r="G142" s="103"/>
      <c r="H142" s="103"/>
      <c r="I142" s="103"/>
      <c r="J142" s="11" t="s">
        <v>52</v>
      </c>
      <c r="K142" s="7">
        <v>46.8</v>
      </c>
    </row>
    <row r="143" spans="1:11" ht="12.75" customHeight="1" x14ac:dyDescent="0.25">
      <c r="A143" s="106"/>
      <c r="B143" s="107"/>
      <c r="C143" s="8"/>
      <c r="D143" s="17" t="s">
        <v>396</v>
      </c>
      <c r="E143" s="11"/>
      <c r="F143" s="11"/>
      <c r="G143" s="103"/>
      <c r="H143" s="103"/>
      <c r="I143" s="103"/>
      <c r="J143" s="11" t="s">
        <v>52</v>
      </c>
      <c r="K143" s="7">
        <v>28.04</v>
      </c>
    </row>
    <row r="144" spans="1:11" ht="12.75" customHeight="1" x14ac:dyDescent="0.2">
      <c r="A144" s="106"/>
      <c r="B144" s="107"/>
      <c r="C144" s="8"/>
      <c r="D144" s="103"/>
      <c r="E144" s="103"/>
      <c r="F144" s="103"/>
      <c r="G144" s="103"/>
      <c r="H144" s="103"/>
      <c r="I144" s="103" t="s">
        <v>15</v>
      </c>
      <c r="J144" s="103" t="s">
        <v>52</v>
      </c>
      <c r="K144" s="100">
        <f>SUM(K141:K143)</f>
        <v>178.18</v>
      </c>
    </row>
    <row r="145" spans="1:12" ht="6" customHeight="1" x14ac:dyDescent="0.2">
      <c r="A145" s="106"/>
      <c r="B145" s="107"/>
      <c r="C145" s="8"/>
      <c r="D145" s="11"/>
      <c r="E145" s="11"/>
      <c r="F145" s="11"/>
      <c r="G145" s="11"/>
      <c r="H145" s="11"/>
      <c r="I145" s="11"/>
      <c r="J145" s="11"/>
      <c r="K145" s="7"/>
    </row>
    <row r="146" spans="1:12" ht="25.5" customHeight="1" x14ac:dyDescent="0.2">
      <c r="A146" s="108" t="str">
        <f>Planilha!A43</f>
        <v>4.3.6</v>
      </c>
      <c r="B146" s="108" t="str">
        <f>Planilha!B43</f>
        <v>SINAPI</v>
      </c>
      <c r="C146" s="108">
        <f>Planilha!C43</f>
        <v>92398</v>
      </c>
      <c r="D146" s="359" t="str">
        <f>Planilha!D43</f>
        <v>EXECUÇÃO DE PAVIMENTO EM PISO INTERTRAVADO, COM BLOCO RETANGULAR COR NATURAL DE 20 X 10 CM, ESPESSURA 8 CM. AF_10/2022</v>
      </c>
      <c r="E146" s="359"/>
      <c r="F146" s="359"/>
      <c r="G146" s="359"/>
      <c r="H146" s="359"/>
      <c r="I146" s="359"/>
      <c r="J146" s="359"/>
      <c r="K146" s="7" t="str">
        <f>Planilha!E43</f>
        <v>M²</v>
      </c>
    </row>
    <row r="147" spans="1:12" ht="12.75" customHeight="1" x14ac:dyDescent="0.2">
      <c r="A147" s="106"/>
      <c r="B147" s="107"/>
      <c r="C147" s="8"/>
      <c r="D147" s="11"/>
      <c r="E147" s="11"/>
      <c r="F147" s="11"/>
      <c r="G147" s="11"/>
      <c r="H147" s="11"/>
      <c r="I147" s="11"/>
      <c r="J147" s="11"/>
      <c r="K147" s="11" t="s">
        <v>85</v>
      </c>
    </row>
    <row r="148" spans="1:12" ht="12.75" customHeight="1" x14ac:dyDescent="0.25">
      <c r="A148" s="106"/>
      <c r="B148" s="107"/>
      <c r="C148" s="8"/>
      <c r="D148" s="17" t="s">
        <v>397</v>
      </c>
      <c r="E148" s="11">
        <v>1245.44</v>
      </c>
      <c r="F148" s="11" t="s">
        <v>143</v>
      </c>
      <c r="G148" s="11">
        <f>K144</f>
        <v>178.18</v>
      </c>
      <c r="H148" s="11"/>
      <c r="I148" s="11"/>
      <c r="J148" s="11" t="s">
        <v>52</v>
      </c>
      <c r="K148" s="11">
        <f>E148-G148</f>
        <v>1067.26</v>
      </c>
    </row>
    <row r="149" spans="1:12" ht="12.75" customHeight="1" x14ac:dyDescent="0.25">
      <c r="A149" s="106"/>
      <c r="B149" s="107"/>
      <c r="C149" s="8"/>
      <c r="D149" s="17" t="s">
        <v>261</v>
      </c>
      <c r="E149" s="11"/>
      <c r="F149" s="11"/>
      <c r="G149" s="11"/>
      <c r="H149" s="11"/>
      <c r="I149" s="11"/>
      <c r="J149" s="11" t="s">
        <v>52</v>
      </c>
      <c r="K149" s="11">
        <v>205.49</v>
      </c>
    </row>
    <row r="150" spans="1:12" ht="12.75" customHeight="1" x14ac:dyDescent="0.25">
      <c r="A150" s="106"/>
      <c r="B150" s="107"/>
      <c r="C150" s="8"/>
      <c r="D150" s="17" t="s">
        <v>398</v>
      </c>
      <c r="E150" s="11"/>
      <c r="F150" s="11"/>
      <c r="G150" s="11"/>
      <c r="H150" s="11"/>
      <c r="I150" s="11"/>
      <c r="J150" s="11" t="s">
        <v>52</v>
      </c>
      <c r="K150" s="11">
        <v>296.3</v>
      </c>
    </row>
    <row r="151" spans="1:12" ht="12.75" customHeight="1" x14ac:dyDescent="0.25">
      <c r="A151" s="106"/>
      <c r="B151" s="107"/>
      <c r="C151" s="8"/>
      <c r="D151" s="17" t="s">
        <v>399</v>
      </c>
      <c r="E151" s="11"/>
      <c r="F151" s="11"/>
      <c r="G151" s="11"/>
      <c r="H151" s="11"/>
      <c r="I151" s="11"/>
      <c r="J151" s="11" t="s">
        <v>52</v>
      </c>
      <c r="K151" s="11">
        <v>16.98</v>
      </c>
    </row>
    <row r="152" spans="1:12" ht="12.75" customHeight="1" x14ac:dyDescent="0.25">
      <c r="A152" s="106"/>
      <c r="B152" s="107"/>
      <c r="C152" s="8"/>
      <c r="D152" s="17" t="s">
        <v>400</v>
      </c>
      <c r="E152" s="11"/>
      <c r="F152" s="11"/>
      <c r="G152" s="11"/>
      <c r="H152" s="11"/>
      <c r="I152" s="11"/>
      <c r="J152" s="11" t="s">
        <v>52</v>
      </c>
      <c r="K152" s="11">
        <v>103.48</v>
      </c>
    </row>
    <row r="153" spans="1:12" ht="12.75" customHeight="1" x14ac:dyDescent="0.25">
      <c r="A153" s="106"/>
      <c r="B153" s="107"/>
      <c r="C153" s="8"/>
      <c r="D153" s="17" t="s">
        <v>401</v>
      </c>
      <c r="E153" s="11"/>
      <c r="F153" s="11"/>
      <c r="G153" s="11"/>
      <c r="H153" s="11"/>
      <c r="I153" s="11"/>
      <c r="J153" s="11" t="s">
        <v>52</v>
      </c>
      <c r="K153" s="11">
        <v>165.12</v>
      </c>
    </row>
    <row r="154" spans="1:12" ht="12.75" customHeight="1" x14ac:dyDescent="0.2">
      <c r="A154" s="106"/>
      <c r="B154" s="107"/>
      <c r="C154" s="8"/>
      <c r="D154" s="11"/>
      <c r="E154" s="11"/>
      <c r="F154" s="11"/>
      <c r="G154" s="11"/>
      <c r="H154" s="11"/>
      <c r="I154" s="11"/>
      <c r="J154" s="11"/>
      <c r="K154" s="100">
        <f>SUM(K148:K153)</f>
        <v>1854.63</v>
      </c>
    </row>
    <row r="155" spans="1:12" ht="6" customHeight="1" x14ac:dyDescent="0.2">
      <c r="A155" s="106"/>
      <c r="B155" s="107"/>
      <c r="C155" s="8"/>
      <c r="D155" s="11"/>
      <c r="E155" s="11"/>
      <c r="F155" s="11"/>
      <c r="G155" s="11"/>
      <c r="H155" s="11"/>
      <c r="I155" s="11"/>
      <c r="J155" s="11"/>
      <c r="K155" s="11"/>
    </row>
    <row r="156" spans="1:12" ht="40.5" customHeight="1" x14ac:dyDescent="0.2">
      <c r="A156" s="108" t="str">
        <f>Planilha!A44</f>
        <v>4.3.7</v>
      </c>
      <c r="B156" s="108" t="str">
        <f>Planilha!B44</f>
        <v>SEINFRA</v>
      </c>
      <c r="C156" s="108" t="str">
        <f>Planilha!C44</f>
        <v>C4556</v>
      </c>
      <c r="D156" s="359" t="str">
        <f>Planilha!D44</f>
        <v>PORTÃO PIVOTANTE NYLOFOR, COMPOSTO DE QUADRO, PAINÉIS E ACESSÓRIOS COM PINTURA ELETROSTÁTICA COM TINTA POLIESTER, NAS CORES VERDE OU BRANCA, COM POSTE EM AÇO REVESTIDO, COR VERDE OU BRANCA - FORNECIMENTO E MONTAGEM</v>
      </c>
      <c r="E156" s="359"/>
      <c r="F156" s="359"/>
      <c r="G156" s="359"/>
      <c r="H156" s="359"/>
      <c r="I156" s="359"/>
      <c r="J156" s="359"/>
      <c r="K156" s="7" t="str">
        <f>Planilha!E44</f>
        <v>M²</v>
      </c>
    </row>
    <row r="157" spans="1:12" ht="12.75" customHeight="1" x14ac:dyDescent="0.2">
      <c r="A157" s="106"/>
      <c r="B157" s="107"/>
      <c r="C157" s="8"/>
      <c r="D157" s="11"/>
      <c r="E157" s="11"/>
      <c r="F157" s="11"/>
      <c r="G157" s="11" t="s">
        <v>88</v>
      </c>
      <c r="H157" s="11"/>
      <c r="I157" s="11" t="s">
        <v>270</v>
      </c>
      <c r="J157" s="11"/>
      <c r="K157" s="11" t="s">
        <v>85</v>
      </c>
    </row>
    <row r="158" spans="1:12" ht="12.75" customHeight="1" x14ac:dyDescent="0.2">
      <c r="A158" s="106"/>
      <c r="B158" s="107"/>
      <c r="C158" s="8"/>
      <c r="D158" s="11" t="s">
        <v>268</v>
      </c>
      <c r="E158" s="11"/>
      <c r="F158" s="11"/>
      <c r="G158" s="11">
        <v>1.2</v>
      </c>
      <c r="H158" s="11" t="s">
        <v>82</v>
      </c>
      <c r="I158" s="11">
        <v>1.4</v>
      </c>
      <c r="J158" s="11" t="s">
        <v>52</v>
      </c>
      <c r="K158" s="11">
        <f>ROUND(G158*I158,2)</f>
        <v>1.68</v>
      </c>
      <c r="L158" s="62"/>
    </row>
    <row r="159" spans="1:12" ht="12.75" customHeight="1" x14ac:dyDescent="0.2">
      <c r="A159" s="106"/>
      <c r="B159" s="107"/>
      <c r="C159" s="8"/>
      <c r="D159" s="11" t="s">
        <v>269</v>
      </c>
      <c r="E159" s="11"/>
      <c r="F159" s="11"/>
      <c r="G159" s="11">
        <v>1.2</v>
      </c>
      <c r="H159" s="11" t="s">
        <v>82</v>
      </c>
      <c r="I159" s="11">
        <v>1.4</v>
      </c>
      <c r="J159" s="11" t="s">
        <v>52</v>
      </c>
      <c r="K159" s="11">
        <f>ROUND(G159*I159,2)</f>
        <v>1.68</v>
      </c>
    </row>
    <row r="160" spans="1:12" ht="12.75" customHeight="1" x14ac:dyDescent="0.2">
      <c r="A160" s="106"/>
      <c r="B160" s="107"/>
      <c r="C160" s="8"/>
      <c r="D160" s="11"/>
      <c r="E160" s="11"/>
      <c r="F160" s="11"/>
      <c r="G160" s="11"/>
      <c r="H160" s="11"/>
      <c r="I160" s="11"/>
      <c r="J160" s="11"/>
      <c r="K160" s="100">
        <f>SUM(K158:K159)</f>
        <v>3.36</v>
      </c>
    </row>
    <row r="161" spans="1:11" ht="6.75" customHeight="1" x14ac:dyDescent="0.2">
      <c r="A161" s="106"/>
      <c r="B161" s="107"/>
      <c r="C161" s="8"/>
      <c r="D161" s="11"/>
      <c r="E161" s="11"/>
      <c r="F161" s="11"/>
      <c r="G161" s="11"/>
      <c r="H161" s="11"/>
      <c r="I161" s="11"/>
      <c r="J161" s="11"/>
      <c r="K161" s="11"/>
    </row>
    <row r="162" spans="1:11" ht="38.25" customHeight="1" x14ac:dyDescent="0.2">
      <c r="A162" s="108" t="str">
        <f>Planilha!A45</f>
        <v>4.3.8</v>
      </c>
      <c r="B162" s="108" t="str">
        <f>Planilha!B45</f>
        <v>ORSE</v>
      </c>
      <c r="C162" s="108">
        <f>Planilha!C45</f>
        <v>13778</v>
      </c>
      <c r="D162" s="359" t="str">
        <f>Planilha!D45</f>
        <v>CERCA/GRADIL NYLOFOR H=1,03M, MALHA 5X20CM - FIO 5 MM, REVESTIDOS EM POLIESTER POR PROCESSO DE PINTURA ELETROSTÁTICA NAS CORES VERDE OU BRANCA. FORNECIMENTO E INSTALAÇÃO. INCLUSIVE POSTE E ACESSÓRIOS.</v>
      </c>
      <c r="E162" s="359"/>
      <c r="F162" s="359"/>
      <c r="G162" s="359"/>
      <c r="H162" s="359"/>
      <c r="I162" s="359"/>
      <c r="J162" s="359"/>
      <c r="K162" s="7" t="str">
        <f>Planilha!E45</f>
        <v>M</v>
      </c>
    </row>
    <row r="163" spans="1:11" ht="12.75" customHeight="1" x14ac:dyDescent="0.2">
      <c r="A163" s="106"/>
      <c r="B163" s="107"/>
      <c r="C163" s="8"/>
      <c r="D163" s="11"/>
      <c r="E163" s="11"/>
      <c r="F163" s="11"/>
      <c r="G163" s="11"/>
      <c r="H163" s="11"/>
      <c r="I163" s="11"/>
      <c r="J163" s="11"/>
      <c r="K163" s="11" t="s">
        <v>85</v>
      </c>
    </row>
    <row r="164" spans="1:11" ht="12.75" customHeight="1" x14ac:dyDescent="0.2">
      <c r="A164" s="106"/>
      <c r="B164" s="107"/>
      <c r="C164" s="8"/>
      <c r="D164" s="11" t="s">
        <v>272</v>
      </c>
      <c r="E164" s="11"/>
      <c r="F164" s="11"/>
      <c r="G164" s="11"/>
      <c r="H164" s="11"/>
      <c r="I164" s="11"/>
      <c r="J164" s="11" t="s">
        <v>52</v>
      </c>
      <c r="K164" s="100">
        <f>K119</f>
        <v>40.61</v>
      </c>
    </row>
    <row r="165" spans="1:11" ht="6.75" customHeight="1" x14ac:dyDescent="0.2">
      <c r="A165" s="106"/>
      <c r="B165" s="107"/>
      <c r="C165" s="8"/>
      <c r="D165" s="11"/>
      <c r="E165" s="11"/>
      <c r="F165" s="11"/>
      <c r="G165" s="11"/>
      <c r="H165" s="11"/>
      <c r="I165" s="11"/>
      <c r="J165" s="11"/>
      <c r="K165" s="11"/>
    </row>
    <row r="166" spans="1:11" ht="12.75" customHeight="1" x14ac:dyDescent="0.2">
      <c r="A166" s="49">
        <f>Planilha!A47</f>
        <v>5</v>
      </c>
      <c r="B166" s="51"/>
      <c r="C166" s="51"/>
      <c r="D166" s="351" t="str">
        <f>Planilha!D47</f>
        <v>ILUMINAÇÃO, PONTO DE RECARGA E PONTOS DE ÁGUA</v>
      </c>
      <c r="E166" s="352"/>
      <c r="F166" s="352"/>
      <c r="G166" s="352"/>
      <c r="H166" s="352"/>
      <c r="I166" s="352"/>
      <c r="J166" s="353"/>
      <c r="K166" s="49"/>
    </row>
    <row r="167" spans="1:11" ht="12.75" customHeight="1" x14ac:dyDescent="0.2">
      <c r="A167" s="49" t="str">
        <f>Planilha!A48</f>
        <v>5.1</v>
      </c>
      <c r="B167" s="51"/>
      <c r="C167" s="51"/>
      <c r="D167" s="351" t="str">
        <f>Planilha!D48</f>
        <v>ILUMINAÇÃO DAS ÁREAS DE CONVÍVIO</v>
      </c>
      <c r="E167" s="352"/>
      <c r="F167" s="352"/>
      <c r="G167" s="352"/>
      <c r="H167" s="352"/>
      <c r="I167" s="352"/>
      <c r="J167" s="353"/>
      <c r="K167" s="49"/>
    </row>
    <row r="168" spans="1:11" ht="52.5" customHeight="1" x14ac:dyDescent="0.2">
      <c r="A168" s="108" t="str">
        <f>Planilha!A49</f>
        <v>5.1.1</v>
      </c>
      <c r="B168" s="108" t="str">
        <f>Planilha!B49</f>
        <v>SICOR-MG</v>
      </c>
      <c r="C168" s="108" t="str">
        <f>Planilha!C49</f>
        <v>ED-49197</v>
      </c>
      <c r="D168" s="379" t="str">
        <f>Planilha!D49</f>
        <v>CAIXA DE INSPEÇÃO EM CONCRETO, TIPO "ZA" PASSEIO, PADRÃO CEMIG, DIMENSÃO (28X28)CM, ALTURA 40CM, COM TAMPA E ARO ARTICULADO EM FERRO FUNDIDO, INCLUSIVE ESCAVAÇÃO, APILOAMENTO, LASTRO DE BRITA, REATERRO E TRANSPORTE E RETIRADA DO MATERIAL ESCAVADO (EM CAÇAMBA</v>
      </c>
      <c r="E168" s="380"/>
      <c r="F168" s="380"/>
      <c r="G168" s="380"/>
      <c r="H168" s="380"/>
      <c r="I168" s="380"/>
      <c r="J168" s="381"/>
      <c r="K168" s="7" t="str">
        <f>Planilha!E49</f>
        <v xml:space="preserve">UN </v>
      </c>
    </row>
    <row r="169" spans="1:11" ht="12.75" customHeight="1" x14ac:dyDescent="0.25">
      <c r="A169" s="106"/>
      <c r="B169" s="107"/>
      <c r="C169" s="8"/>
      <c r="D169" s="103"/>
      <c r="E169" s="103"/>
      <c r="F169" s="103"/>
      <c r="G169" s="103"/>
      <c r="H169" s="103"/>
      <c r="I169" s="10" t="s">
        <v>15</v>
      </c>
      <c r="J169" s="104" t="s">
        <v>52</v>
      </c>
      <c r="K169" s="100">
        <v>26</v>
      </c>
    </row>
    <row r="170" spans="1:11" ht="6.75" customHeight="1" x14ac:dyDescent="0.2">
      <c r="A170" s="106"/>
      <c r="B170" s="107"/>
      <c r="C170" s="8"/>
      <c r="D170" s="11"/>
      <c r="E170" s="11"/>
      <c r="F170" s="11"/>
      <c r="G170" s="11"/>
      <c r="H170" s="11"/>
      <c r="I170" s="10"/>
      <c r="J170" s="11"/>
      <c r="K170" s="7"/>
    </row>
    <row r="171" spans="1:11" ht="39" customHeight="1" x14ac:dyDescent="0.2">
      <c r="A171" s="108" t="str">
        <f>Planilha!A50</f>
        <v>5.1.2</v>
      </c>
      <c r="B171" s="108" t="str">
        <f>Planilha!B50</f>
        <v>ORSE</v>
      </c>
      <c r="C171" s="108">
        <f>Planilha!C50</f>
        <v>13202</v>
      </c>
      <c r="D171" s="331" t="str">
        <f>Planilha!D50</f>
        <v>LUMINÁRIA FECHADA EM LED P/ILUMINAÇÃO PÚBLICA, MODELO LPL ÁTON 60W, CORPO ALUMÍNIO INJETADO, 5.000K, IP66, 120V A 277V, 50/60 HZ, VIDA ÚTIL 70.000HS, FP&gt;0,95, COM VIDRO REF C/TOMADA 7 PINOS(TELEGESTÃO), POSTE CÔNICO CONTÍNUO DE AÇO RETO, H=6,0M.</v>
      </c>
      <c r="E171" s="331"/>
      <c r="F171" s="331"/>
      <c r="G171" s="331"/>
      <c r="H171" s="331"/>
      <c r="I171" s="331"/>
      <c r="J171" s="331"/>
      <c r="K171" s="7" t="str">
        <f>Planilha!E50</f>
        <v xml:space="preserve">UN </v>
      </c>
    </row>
    <row r="172" spans="1:11" ht="12.75" customHeight="1" x14ac:dyDescent="0.25">
      <c r="A172" s="106"/>
      <c r="B172" s="107"/>
      <c r="C172" s="8"/>
      <c r="D172" s="11"/>
      <c r="E172" s="103"/>
      <c r="F172" s="103"/>
      <c r="G172" s="103"/>
      <c r="H172" s="103"/>
      <c r="I172" s="10" t="s">
        <v>15</v>
      </c>
      <c r="J172" s="104" t="s">
        <v>52</v>
      </c>
      <c r="K172" s="100">
        <v>25</v>
      </c>
    </row>
    <row r="173" spans="1:11" ht="6.75" customHeight="1" x14ac:dyDescent="0.2">
      <c r="A173" s="106"/>
      <c r="B173" s="107"/>
      <c r="C173" s="8"/>
      <c r="D173" s="11"/>
      <c r="E173" s="11"/>
      <c r="F173" s="11"/>
      <c r="G173" s="11"/>
      <c r="H173" s="11"/>
      <c r="I173" s="10"/>
      <c r="J173" s="11"/>
      <c r="K173" s="7"/>
    </row>
    <row r="174" spans="1:11" ht="27" customHeight="1" x14ac:dyDescent="0.2">
      <c r="A174" s="108" t="str">
        <f>Planilha!A51</f>
        <v>5.1.3</v>
      </c>
      <c r="B174" s="108" t="str">
        <f>Planilha!B51</f>
        <v>SICOR-MG</v>
      </c>
      <c r="C174" s="108" t="str">
        <f>Planilha!C51</f>
        <v>ED-51107</v>
      </c>
      <c r="D174" s="331" t="str">
        <f>Planilha!D51</f>
        <v>ESCAVAÇÃO MANUAL DE VALA COM PROFUNDIDADE MENOR OU IGUAL A 1,5M, INCLUSIVE DESCARGA LATERAL</v>
      </c>
      <c r="E174" s="331"/>
      <c r="F174" s="331"/>
      <c r="G174" s="331"/>
      <c r="H174" s="331"/>
      <c r="I174" s="331"/>
      <c r="J174" s="331"/>
      <c r="K174" s="7" t="str">
        <f>Planilha!E51</f>
        <v>M3</v>
      </c>
    </row>
    <row r="175" spans="1:11" ht="12.75" customHeight="1" x14ac:dyDescent="0.2">
      <c r="A175" s="106"/>
      <c r="B175" s="107"/>
      <c r="C175" s="8"/>
      <c r="D175" s="11"/>
      <c r="E175" s="11" t="s">
        <v>85</v>
      </c>
      <c r="F175" s="11"/>
      <c r="G175" s="11" t="s">
        <v>109</v>
      </c>
      <c r="H175" s="11"/>
      <c r="I175" s="11" t="s">
        <v>88</v>
      </c>
      <c r="J175" s="11"/>
      <c r="K175" s="7" t="s">
        <v>142</v>
      </c>
    </row>
    <row r="176" spans="1:11" ht="12.75" customHeight="1" x14ac:dyDescent="0.2">
      <c r="A176" s="106"/>
      <c r="B176" s="107"/>
      <c r="C176" s="8"/>
      <c r="D176" s="103" t="s">
        <v>279</v>
      </c>
      <c r="E176" s="11">
        <f>K188</f>
        <v>126.1</v>
      </c>
      <c r="F176" s="11" t="s">
        <v>82</v>
      </c>
      <c r="G176" s="11">
        <v>0.3</v>
      </c>
      <c r="H176" s="11" t="s">
        <v>82</v>
      </c>
      <c r="I176" s="10">
        <v>0.2</v>
      </c>
      <c r="J176" s="11" t="s">
        <v>52</v>
      </c>
      <c r="K176" s="103">
        <f>ROUND(E176*G176*I176,2)</f>
        <v>7.57</v>
      </c>
    </row>
    <row r="177" spans="1:11" ht="12.75" customHeight="1" x14ac:dyDescent="0.2">
      <c r="A177" s="106"/>
      <c r="B177" s="107"/>
      <c r="C177" s="8"/>
      <c r="D177" s="103" t="s">
        <v>280</v>
      </c>
      <c r="E177" s="11">
        <f>K189</f>
        <v>183.64</v>
      </c>
      <c r="F177" s="11" t="s">
        <v>82</v>
      </c>
      <c r="G177" s="11">
        <v>0.3</v>
      </c>
      <c r="H177" s="11" t="s">
        <v>82</v>
      </c>
      <c r="I177" s="10">
        <v>0.2</v>
      </c>
      <c r="J177" s="11" t="s">
        <v>52</v>
      </c>
      <c r="K177" s="103">
        <f>ROUND(E177*G177*I177,2)</f>
        <v>11.02</v>
      </c>
    </row>
    <row r="178" spans="1:11" ht="12.75" customHeight="1" x14ac:dyDescent="0.2">
      <c r="A178" s="106"/>
      <c r="B178" s="107"/>
      <c r="C178" s="8"/>
      <c r="D178" s="11"/>
      <c r="E178" s="11"/>
      <c r="F178" s="11"/>
      <c r="G178" s="11"/>
      <c r="H178" s="11"/>
      <c r="I178" s="10"/>
      <c r="J178" s="11"/>
      <c r="K178" s="100">
        <f>SUM(K176:K177)</f>
        <v>18.59</v>
      </c>
    </row>
    <row r="179" spans="1:11" ht="6.75" customHeight="1" x14ac:dyDescent="0.2">
      <c r="A179" s="106"/>
      <c r="B179" s="107"/>
      <c r="C179" s="8"/>
      <c r="D179" s="11"/>
      <c r="E179" s="11"/>
      <c r="F179" s="11"/>
      <c r="G179" s="11"/>
      <c r="H179" s="11"/>
      <c r="I179" s="11"/>
      <c r="J179" s="11"/>
    </row>
    <row r="180" spans="1:11" ht="27" customHeight="1" x14ac:dyDescent="0.2">
      <c r="A180" s="108" t="str">
        <f>Planilha!A52</f>
        <v>5.1.4</v>
      </c>
      <c r="B180" s="108" t="str">
        <f>Planilha!B52</f>
        <v>SICOR-MG</v>
      </c>
      <c r="C180" s="108" t="str">
        <f>Planilha!C52</f>
        <v>ED-51121</v>
      </c>
      <c r="D180" s="331" t="str">
        <f>Planilha!D52</f>
        <v>REATERRO MANUAL DE VALA, INCLUSIVE ESPALHAMENTO E COMPACTAÇÃO MECANIZADA COM PLACA VIBRATÓRIA (VALA DO ELETRODUTO)</v>
      </c>
      <c r="E180" s="331"/>
      <c r="F180" s="331"/>
      <c r="G180" s="331"/>
      <c r="H180" s="331"/>
      <c r="I180" s="331"/>
      <c r="J180" s="331"/>
      <c r="K180" s="7" t="str">
        <f>Planilha!E52</f>
        <v>M³</v>
      </c>
    </row>
    <row r="181" spans="1:11" ht="12.75" customHeight="1" x14ac:dyDescent="0.2">
      <c r="A181" s="106"/>
      <c r="B181" s="107"/>
      <c r="C181" s="8"/>
      <c r="D181" s="11"/>
      <c r="E181" s="11" t="s">
        <v>85</v>
      </c>
      <c r="F181" s="11"/>
      <c r="G181" s="11" t="s">
        <v>109</v>
      </c>
      <c r="H181" s="11"/>
      <c r="I181" s="11" t="s">
        <v>88</v>
      </c>
      <c r="J181" s="11"/>
      <c r="K181" s="7" t="s">
        <v>142</v>
      </c>
    </row>
    <row r="182" spans="1:11" ht="12.75" customHeight="1" x14ac:dyDescent="0.2">
      <c r="A182" s="106"/>
      <c r="B182" s="107"/>
      <c r="C182" s="8"/>
      <c r="D182" s="103" t="s">
        <v>279</v>
      </c>
      <c r="E182" s="11">
        <f>K188</f>
        <v>126.1</v>
      </c>
      <c r="F182" s="11" t="s">
        <v>82</v>
      </c>
      <c r="G182" s="11">
        <v>0.3</v>
      </c>
      <c r="H182" s="11" t="s">
        <v>82</v>
      </c>
      <c r="I182" s="10">
        <v>0.2</v>
      </c>
      <c r="J182" s="11" t="s">
        <v>52</v>
      </c>
      <c r="K182" s="103">
        <f>ROUND(E182*G182*I182,2)</f>
        <v>7.57</v>
      </c>
    </row>
    <row r="183" spans="1:11" ht="12.75" customHeight="1" x14ac:dyDescent="0.2">
      <c r="A183" s="106"/>
      <c r="B183" s="107"/>
      <c r="C183" s="8"/>
      <c r="D183" s="103" t="s">
        <v>280</v>
      </c>
      <c r="E183" s="11">
        <f>K189</f>
        <v>183.64</v>
      </c>
      <c r="F183" s="11" t="s">
        <v>82</v>
      </c>
      <c r="G183" s="11">
        <v>0.3</v>
      </c>
      <c r="H183" s="11" t="s">
        <v>82</v>
      </c>
      <c r="I183" s="10">
        <v>0.2</v>
      </c>
      <c r="J183" s="11" t="s">
        <v>52</v>
      </c>
      <c r="K183" s="103">
        <f>ROUND(E183*G183*I183,2)</f>
        <v>11.02</v>
      </c>
    </row>
    <row r="184" spans="1:11" ht="12.75" customHeight="1" x14ac:dyDescent="0.2">
      <c r="A184" s="106"/>
      <c r="B184" s="107"/>
      <c r="C184" s="8"/>
      <c r="D184" s="11"/>
      <c r="E184" s="11"/>
      <c r="F184" s="11"/>
      <c r="G184" s="11"/>
      <c r="H184" s="11"/>
      <c r="I184" s="10"/>
      <c r="J184" s="11"/>
      <c r="K184" s="100">
        <f>SUM(K182:K183)</f>
        <v>18.59</v>
      </c>
    </row>
    <row r="185" spans="1:11" ht="12.75" customHeight="1" x14ac:dyDescent="0.2">
      <c r="A185" s="106"/>
      <c r="B185" s="107"/>
      <c r="C185" s="8"/>
      <c r="D185" s="11"/>
      <c r="E185" s="11"/>
      <c r="F185" s="11"/>
      <c r="G185" s="11"/>
      <c r="H185" s="11"/>
      <c r="I185" s="10"/>
      <c r="J185" s="11"/>
      <c r="K185" s="7"/>
    </row>
    <row r="186" spans="1:11" ht="27.75" customHeight="1" x14ac:dyDescent="0.2">
      <c r="A186" s="108" t="str">
        <f>Planilha!A53</f>
        <v>5.1.5</v>
      </c>
      <c r="B186" s="108" t="str">
        <f>Planilha!B53</f>
        <v>COMPOSIÇÃO</v>
      </c>
      <c r="C186" s="108" t="str">
        <f>Planilha!C53</f>
        <v>CPU-004</v>
      </c>
      <c r="D186" s="331" t="str">
        <f>Planilha!D53</f>
        <v>DUTO CORRUGADO EM PEAD (POLIETILENO DE ALTA DENSIDADE), PARA PROTEÇÃO DE CABOS SUBTERRÂNEOS DN 50 MM (DIÂMETRO INTERNO = 2")</v>
      </c>
      <c r="E186" s="331"/>
      <c r="F186" s="331"/>
      <c r="G186" s="331"/>
      <c r="H186" s="331"/>
      <c r="I186" s="331"/>
      <c r="J186" s="331"/>
      <c r="K186" s="7" t="str">
        <f>Planilha!E53</f>
        <v>M</v>
      </c>
    </row>
    <row r="187" spans="1:11" ht="12.75" customHeight="1" x14ac:dyDescent="0.2">
      <c r="A187" s="106"/>
      <c r="B187" s="107"/>
      <c r="C187" s="8"/>
      <c r="D187" s="11"/>
      <c r="E187" s="11"/>
      <c r="F187" s="11"/>
      <c r="G187" s="11"/>
      <c r="H187" s="11"/>
      <c r="I187" s="10"/>
      <c r="J187" s="11"/>
      <c r="K187" s="11" t="s">
        <v>86</v>
      </c>
    </row>
    <row r="188" spans="1:11" ht="12.75" customHeight="1" x14ac:dyDescent="0.2">
      <c r="A188" s="106"/>
      <c r="B188" s="107"/>
      <c r="C188" s="8"/>
      <c r="D188" s="103" t="s">
        <v>279</v>
      </c>
      <c r="E188" s="11"/>
      <c r="F188" s="11"/>
      <c r="G188" s="11"/>
      <c r="H188" s="11"/>
      <c r="I188" s="10"/>
      <c r="J188" s="11"/>
      <c r="K188" s="103">
        <f>8.34+14.24+8.03+7.16+6.91+9.58+1.84+5.3+6.95+8.79+7.56+6.87+10.97+11.55+12.01</f>
        <v>126.1</v>
      </c>
    </row>
    <row r="189" spans="1:11" ht="12.75" customHeight="1" x14ac:dyDescent="0.2">
      <c r="A189" s="106"/>
      <c r="B189" s="107"/>
      <c r="C189" s="8"/>
      <c r="D189" s="103" t="s">
        <v>280</v>
      </c>
      <c r="E189" s="11"/>
      <c r="F189" s="11"/>
      <c r="G189" s="11"/>
      <c r="H189" s="11"/>
      <c r="I189" s="10"/>
      <c r="J189" s="11"/>
      <c r="K189" s="103">
        <f>8.95+14.24+15.52+12.68+13.97+14.06+13.97+10.71+11+14.63+12.77+11.98+12.53+6.57+2.16+7.9</f>
        <v>183.64</v>
      </c>
    </row>
    <row r="190" spans="1:11" ht="12.75" customHeight="1" x14ac:dyDescent="0.2">
      <c r="A190" s="106"/>
      <c r="B190" s="107"/>
      <c r="C190" s="8"/>
      <c r="D190" s="11"/>
      <c r="E190" s="11"/>
      <c r="F190" s="11"/>
      <c r="G190" s="11"/>
      <c r="H190" s="11"/>
      <c r="I190" s="10"/>
      <c r="J190" s="11"/>
      <c r="K190" s="100">
        <f>SUM(K188:K189)</f>
        <v>309.74</v>
      </c>
    </row>
    <row r="191" spans="1:11" ht="12.75" customHeight="1" x14ac:dyDescent="0.2">
      <c r="A191" s="106"/>
      <c r="B191" s="107"/>
      <c r="C191" s="8"/>
      <c r="D191" s="11"/>
      <c r="E191" s="11"/>
      <c r="F191" s="11"/>
      <c r="G191" s="11"/>
      <c r="H191" s="11"/>
      <c r="I191" s="10"/>
      <c r="J191" s="11"/>
      <c r="K191" s="7"/>
    </row>
    <row r="192" spans="1:11" ht="27" customHeight="1" x14ac:dyDescent="0.2">
      <c r="A192" s="108" t="str">
        <f>Planilha!A54</f>
        <v>5.1.6</v>
      </c>
      <c r="B192" s="108" t="str">
        <f>Planilha!B54</f>
        <v>COMPOSIÇÃO</v>
      </c>
      <c r="C192" s="108" t="str">
        <f>Planilha!C54</f>
        <v>CPU-005</v>
      </c>
      <c r="D192" s="331" t="str">
        <f>Planilha!D54</f>
        <v>CABO DE ALUMÍNIO (4X25MM² - PRETO/ CINZA/ VERMELHO / AZUL OU VERDE) PARA REDE ENTERRADA DE DISTRIBUIÇÃO DE ENERGIA ELÉTRICA - FORNECIMENTO E INSTALAÇÃO.</v>
      </c>
      <c r="E192" s="331"/>
      <c r="F192" s="331"/>
      <c r="G192" s="331"/>
      <c r="H192" s="331"/>
      <c r="I192" s="331"/>
      <c r="J192" s="331"/>
      <c r="K192" s="7" t="str">
        <f>Planilha!E54</f>
        <v>M</v>
      </c>
    </row>
    <row r="193" spans="1:11" ht="12.75" customHeight="1" x14ac:dyDescent="0.2">
      <c r="A193" s="106"/>
      <c r="B193" s="107"/>
      <c r="C193" s="8"/>
      <c r="D193" s="103" t="s">
        <v>279</v>
      </c>
      <c r="E193" s="11"/>
      <c r="F193" s="11"/>
      <c r="G193" s="11"/>
      <c r="H193" s="11"/>
      <c r="I193" s="10"/>
      <c r="J193" s="11"/>
      <c r="K193" s="103">
        <f>8.34+14.24+8.03+7.16+6.91+9.58+1.84+5.3+6.95+8.79+7.56+6.87+10.97+11.55+12.01</f>
        <v>126.1</v>
      </c>
    </row>
    <row r="194" spans="1:11" ht="12.75" customHeight="1" x14ac:dyDescent="0.2">
      <c r="A194" s="106"/>
      <c r="B194" s="107"/>
      <c r="C194" s="8"/>
      <c r="D194" s="103" t="s">
        <v>280</v>
      </c>
      <c r="E194" s="11"/>
      <c r="F194" s="11"/>
      <c r="G194" s="11"/>
      <c r="H194" s="11"/>
      <c r="I194" s="10"/>
      <c r="J194" s="11"/>
      <c r="K194" s="103">
        <f>8.95+14.24+15.52+12.68+13.97+14.06+13.97+10.71+11+14.63+12.77+11.98+12.53+6.57+2.16+7.9</f>
        <v>183.64</v>
      </c>
    </row>
    <row r="195" spans="1:11" ht="12.75" customHeight="1" x14ac:dyDescent="0.2">
      <c r="A195" s="106"/>
      <c r="B195" s="107"/>
      <c r="C195" s="8"/>
      <c r="D195" s="11"/>
      <c r="E195" s="11"/>
      <c r="F195" s="11"/>
      <c r="G195" s="11"/>
      <c r="H195" s="11"/>
      <c r="I195" s="10"/>
      <c r="J195" s="11"/>
      <c r="K195" s="100">
        <f>SUM(K193:K194)</f>
        <v>309.74</v>
      </c>
    </row>
    <row r="196" spans="1:11" ht="12.75" customHeight="1" x14ac:dyDescent="0.2">
      <c r="A196" s="106"/>
      <c r="B196" s="107"/>
      <c r="C196" s="8"/>
      <c r="D196" s="11"/>
      <c r="E196" s="11"/>
      <c r="F196" s="11"/>
      <c r="G196" s="11"/>
      <c r="H196" s="11"/>
      <c r="I196" s="10"/>
      <c r="J196" s="11"/>
      <c r="K196" s="7"/>
    </row>
    <row r="197" spans="1:11" ht="12.75" customHeight="1" x14ac:dyDescent="0.2">
      <c r="A197" s="49" t="str">
        <f>Planilha!A56</f>
        <v>5.2</v>
      </c>
      <c r="B197" s="51"/>
      <c r="C197" s="51"/>
      <c r="D197" s="351" t="str">
        <f>Planilha!D56</f>
        <v>PONTO DE RECARGA PARA VEÍCULOS</v>
      </c>
      <c r="E197" s="352"/>
      <c r="F197" s="352"/>
      <c r="G197" s="352"/>
      <c r="H197" s="352"/>
      <c r="I197" s="352"/>
      <c r="J197" s="353"/>
      <c r="K197" s="49"/>
    </row>
    <row r="198" spans="1:11" ht="39" customHeight="1" x14ac:dyDescent="0.2">
      <c r="A198" s="83" t="str">
        <f>Planilha!A57</f>
        <v>5.2.1</v>
      </c>
      <c r="B198" s="83" t="str">
        <f>Planilha!B57</f>
        <v>SICOR-MG</v>
      </c>
      <c r="C198" s="83" t="str">
        <f>Planilha!C57</f>
        <v>ED-49197</v>
      </c>
      <c r="D198" s="332" t="str">
        <f>Planilha!D57</f>
        <v>CAIXA DE INSPEÇÃO EM CONCRETO, TIPO "ZA" PASSEIO, PADRÃO CEMIG, DIMENSÃO (28X28)CM, ALTURA 40CM, COM TAMPA E ARO ARTICULADO EM FERRO FUNDIDO, INCLUSIVE ESCAVAÇÃO, APILOAMENTO, LASTRO DE BRITA, REATERRO E TRANSPORTE E RETIRADA DO MATERIAL ESCAVADO (EM CAÇAMBA</v>
      </c>
      <c r="E198" s="332"/>
      <c r="F198" s="332"/>
      <c r="G198" s="332"/>
      <c r="H198" s="332"/>
      <c r="I198" s="332"/>
      <c r="J198" s="332"/>
      <c r="K198" s="7" t="str">
        <f>Planilha!E57</f>
        <v xml:space="preserve">UN </v>
      </c>
    </row>
    <row r="199" spans="1:11" x14ac:dyDescent="0.2">
      <c r="A199" s="53"/>
      <c r="B199" s="16"/>
      <c r="C199" s="8"/>
      <c r="D199" s="11"/>
      <c r="E199" s="11"/>
      <c r="F199" s="11"/>
      <c r="G199" s="11"/>
      <c r="H199" s="11"/>
      <c r="I199" s="11"/>
      <c r="J199" s="11"/>
      <c r="K199" s="100">
        <v>1</v>
      </c>
    </row>
    <row r="200" spans="1:11" x14ac:dyDescent="0.2">
      <c r="A200" s="53"/>
      <c r="B200" s="16"/>
      <c r="C200" s="8"/>
      <c r="D200" s="11"/>
      <c r="E200" s="11"/>
      <c r="F200" s="11"/>
      <c r="G200" s="11"/>
      <c r="H200" s="11"/>
      <c r="I200" s="11"/>
      <c r="J200" s="11"/>
      <c r="K200" s="7"/>
    </row>
    <row r="201" spans="1:11" ht="25.5" customHeight="1" x14ac:dyDescent="0.2">
      <c r="A201" s="83" t="str">
        <f>Planilha!A58</f>
        <v>5.2.2</v>
      </c>
      <c r="B201" s="83" t="str">
        <f>Planilha!B58</f>
        <v>SICOR-MG</v>
      </c>
      <c r="C201" s="83" t="str">
        <f>Planilha!C58</f>
        <v>ED-51107</v>
      </c>
      <c r="D201" s="332" t="str">
        <f>Planilha!D58</f>
        <v>ESCAVAÇÃO MANUAL DE VALA COM PROFUNDIDADE MENOR OU IGUAL A 1,5M, INCLUSIVE DESCARGA LATERAL</v>
      </c>
      <c r="E201" s="332"/>
      <c r="F201" s="332"/>
      <c r="G201" s="332"/>
      <c r="H201" s="332"/>
      <c r="I201" s="332"/>
      <c r="J201" s="332"/>
      <c r="K201" s="7" t="str">
        <f>Planilha!E58</f>
        <v>M3</v>
      </c>
    </row>
    <row r="202" spans="1:11" x14ac:dyDescent="0.2">
      <c r="A202" s="53"/>
      <c r="B202" s="16"/>
      <c r="C202" s="206"/>
      <c r="D202" s="103"/>
      <c r="E202" s="11" t="s">
        <v>109</v>
      </c>
      <c r="F202" s="11"/>
      <c r="G202" s="11" t="s">
        <v>88</v>
      </c>
      <c r="H202" s="11"/>
      <c r="I202" s="11" t="s">
        <v>85</v>
      </c>
      <c r="J202" s="11"/>
      <c r="K202" s="7" t="s">
        <v>142</v>
      </c>
    </row>
    <row r="203" spans="1:11" x14ac:dyDescent="0.2">
      <c r="A203" s="53"/>
      <c r="B203" s="16"/>
      <c r="C203" s="206"/>
      <c r="D203" s="11"/>
      <c r="E203" s="11">
        <v>0.3</v>
      </c>
      <c r="F203" s="11" t="s">
        <v>51</v>
      </c>
      <c r="G203" s="11">
        <v>0.2</v>
      </c>
      <c r="H203" s="11" t="s">
        <v>51</v>
      </c>
      <c r="I203" s="11">
        <f>K210</f>
        <v>32.130000000000003</v>
      </c>
      <c r="J203" s="11" t="s">
        <v>52</v>
      </c>
      <c r="K203" s="100">
        <f>ROUND(E203*G203*I203,2)</f>
        <v>1.93</v>
      </c>
    </row>
    <row r="204" spans="1:11" x14ac:dyDescent="0.2">
      <c r="A204" s="53"/>
      <c r="B204" s="16"/>
      <c r="C204" s="8"/>
      <c r="D204" s="11"/>
      <c r="E204" s="11"/>
      <c r="F204" s="11"/>
      <c r="G204" s="11"/>
      <c r="H204" s="11"/>
      <c r="I204" s="11"/>
      <c r="J204" s="11"/>
      <c r="K204" s="7"/>
    </row>
    <row r="205" spans="1:11" ht="27.75" customHeight="1" x14ac:dyDescent="0.2">
      <c r="A205" s="83" t="str">
        <f>Planilha!A59</f>
        <v>5.2.3</v>
      </c>
      <c r="B205" s="83" t="str">
        <f>Planilha!B59</f>
        <v>SICOR-MG</v>
      </c>
      <c r="C205" s="83" t="str">
        <f>Planilha!C59</f>
        <v>ED-51121</v>
      </c>
      <c r="D205" s="332" t="str">
        <f>Planilha!D59</f>
        <v>REATERRO MANUAL DE VALA, INCLUSIVE ESPALHAMENTO E COMPACTAÇÃO MECANIZADA COM PLACA VIBRATÓRIA (VALA DO ELETRODUTO)</v>
      </c>
      <c r="E205" s="332"/>
      <c r="F205" s="332"/>
      <c r="G205" s="332"/>
      <c r="H205" s="332"/>
      <c r="I205" s="332"/>
      <c r="J205" s="332"/>
      <c r="K205" s="7" t="str">
        <f>Planilha!E59</f>
        <v>M³</v>
      </c>
    </row>
    <row r="206" spans="1:11" x14ac:dyDescent="0.2">
      <c r="A206" s="53"/>
      <c r="B206" s="16"/>
      <c r="C206" s="8"/>
      <c r="D206" s="11"/>
      <c r="E206" s="11" t="s">
        <v>109</v>
      </c>
      <c r="F206" s="11"/>
      <c r="G206" s="11" t="s">
        <v>88</v>
      </c>
      <c r="H206" s="11"/>
      <c r="I206" s="11" t="s">
        <v>85</v>
      </c>
      <c r="J206" s="11"/>
      <c r="K206" s="7" t="s">
        <v>142</v>
      </c>
    </row>
    <row r="207" spans="1:11" x14ac:dyDescent="0.2">
      <c r="A207" s="53"/>
      <c r="B207" s="16"/>
      <c r="C207" s="8"/>
      <c r="D207" s="11"/>
      <c r="E207" s="11">
        <v>0.3</v>
      </c>
      <c r="F207" s="11" t="s">
        <v>51</v>
      </c>
      <c r="G207" s="11">
        <v>0.2</v>
      </c>
      <c r="H207" s="11" t="s">
        <v>51</v>
      </c>
      <c r="I207" s="11">
        <f>K210</f>
        <v>32.130000000000003</v>
      </c>
      <c r="J207" s="11" t="s">
        <v>52</v>
      </c>
      <c r="K207" s="100">
        <f>ROUND(E207*G207*I207,2)</f>
        <v>1.93</v>
      </c>
    </row>
    <row r="208" spans="1:11" x14ac:dyDescent="0.2">
      <c r="A208" s="53"/>
      <c r="B208" s="16"/>
      <c r="C208" s="8"/>
      <c r="D208" s="11"/>
      <c r="E208" s="11"/>
      <c r="F208" s="11"/>
      <c r="G208" s="11"/>
      <c r="H208" s="11"/>
      <c r="I208" s="11"/>
      <c r="J208" s="11"/>
      <c r="K208" s="7"/>
    </row>
    <row r="209" spans="1:13" ht="28.5" customHeight="1" x14ac:dyDescent="0.2">
      <c r="A209" s="83" t="str">
        <f>Planilha!A60</f>
        <v>5.2.4</v>
      </c>
      <c r="B209" s="83" t="str">
        <f>Planilha!B60</f>
        <v>COMPOSIÇÃO</v>
      </c>
      <c r="C209" s="83" t="str">
        <f>Planilha!C60</f>
        <v>CPU-004</v>
      </c>
      <c r="D209" s="331" t="str">
        <f>Planilha!D60</f>
        <v>DUTO CORRUGADO EM PEAD (POLIETILENO DE ALTA DENSIDADE), PARA PROTEÇÃO DE CABOS SUBTERRÂNEOS DN 50 MM (DIÂMETRO INTERNO = 2")</v>
      </c>
      <c r="E209" s="331"/>
      <c r="F209" s="331"/>
      <c r="G209" s="331"/>
      <c r="H209" s="331"/>
      <c r="I209" s="331"/>
      <c r="J209" s="331"/>
      <c r="K209" s="7" t="str">
        <f>Planilha!E60</f>
        <v>M</v>
      </c>
      <c r="M209" s="62"/>
    </row>
    <row r="210" spans="1:13" x14ac:dyDescent="0.2">
      <c r="A210" s="53"/>
      <c r="B210" s="16"/>
      <c r="C210" s="8"/>
      <c r="D210" s="11"/>
      <c r="E210" s="103"/>
      <c r="F210" s="103"/>
      <c r="G210" s="11">
        <v>26.15</v>
      </c>
      <c r="H210" s="11"/>
      <c r="I210" s="11">
        <v>5.98</v>
      </c>
      <c r="J210" s="11" t="s">
        <v>52</v>
      </c>
      <c r="K210" s="100">
        <f>SUM(G210:I210)</f>
        <v>32.130000000000003</v>
      </c>
    </row>
    <row r="211" spans="1:13" x14ac:dyDescent="0.2">
      <c r="A211" s="53"/>
      <c r="B211" s="16"/>
      <c r="C211" s="8"/>
      <c r="D211" s="11"/>
      <c r="E211" s="103"/>
      <c r="F211" s="103"/>
      <c r="G211" s="11"/>
      <c r="H211" s="11"/>
      <c r="I211" s="11"/>
      <c r="J211" s="11"/>
      <c r="K211" s="7"/>
    </row>
    <row r="212" spans="1:13" x14ac:dyDescent="0.2">
      <c r="A212" s="212" t="str">
        <f>Planilha!A62</f>
        <v>5.3</v>
      </c>
      <c r="B212" s="51"/>
      <c r="C212" s="51"/>
      <c r="D212" s="351" t="str">
        <f>Planilha!D62</f>
        <v>PONTO HIDRÁULICO</v>
      </c>
      <c r="E212" s="352"/>
      <c r="F212" s="352"/>
      <c r="G212" s="352"/>
      <c r="H212" s="352"/>
      <c r="I212" s="352"/>
      <c r="J212" s="353"/>
      <c r="K212" s="49"/>
    </row>
    <row r="213" spans="1:13" ht="27.75" customHeight="1" x14ac:dyDescent="0.2">
      <c r="A213" s="83" t="str">
        <f>Planilha!A63</f>
        <v>5.3.1</v>
      </c>
      <c r="B213" s="83" t="str">
        <f>Planilha!B63</f>
        <v>SICOR-MG</v>
      </c>
      <c r="C213" s="83" t="str">
        <f>Planilha!C63</f>
        <v>ED-51107</v>
      </c>
      <c r="D213" s="331" t="str">
        <f>Planilha!D63</f>
        <v>ESCAVAÇÃO MANUAL DE VALA COM PROFUNDIDADE MENOR OU IGUAL A 1,5M, INCLUSIVE DESCARGA LATERAL</v>
      </c>
      <c r="E213" s="331"/>
      <c r="F213" s="331"/>
      <c r="G213" s="331"/>
      <c r="H213" s="331"/>
      <c r="I213" s="331"/>
      <c r="J213" s="331"/>
      <c r="K213" s="7" t="str">
        <f>Planilha!E63</f>
        <v>M3</v>
      </c>
    </row>
    <row r="214" spans="1:13" x14ac:dyDescent="0.2">
      <c r="A214" s="53"/>
      <c r="B214" s="16"/>
      <c r="C214" s="8"/>
      <c r="D214" s="11"/>
      <c r="E214" s="103"/>
      <c r="F214" s="103"/>
      <c r="G214" s="11">
        <v>26.15</v>
      </c>
      <c r="H214" s="11"/>
      <c r="I214" s="11">
        <v>5.98</v>
      </c>
      <c r="J214" s="11" t="s">
        <v>52</v>
      </c>
      <c r="K214" s="100">
        <f>SUM(G214:I214)</f>
        <v>32.130000000000003</v>
      </c>
    </row>
    <row r="215" spans="1:13" x14ac:dyDescent="0.2">
      <c r="A215" s="53"/>
      <c r="B215" s="16"/>
      <c r="C215" s="8"/>
      <c r="D215" s="11"/>
      <c r="E215" s="103"/>
      <c r="F215" s="103"/>
      <c r="G215" s="11"/>
      <c r="H215" s="11"/>
      <c r="I215" s="11"/>
      <c r="J215" s="11"/>
      <c r="K215" s="7"/>
    </row>
    <row r="216" spans="1:13" ht="27" customHeight="1" x14ac:dyDescent="0.2">
      <c r="A216" s="83" t="str">
        <f>Planilha!A64</f>
        <v>5.3.2</v>
      </c>
      <c r="B216" s="83" t="str">
        <f>Planilha!B64</f>
        <v>SICOR-MG</v>
      </c>
      <c r="C216" s="83" t="str">
        <f>Planilha!C64</f>
        <v>ED-50018</v>
      </c>
      <c r="D216" s="331" t="str">
        <f>Planilha!D64</f>
        <v>FORNECIMENTO E ASSENTAMENTO DE TUBO PVC RÍGIDO SOLDÁVEL, ÁGUA FRIA, DN 20 MM (1/2"), INCLUSIVE CONEXÕES</v>
      </c>
      <c r="E216" s="331"/>
      <c r="F216" s="331"/>
      <c r="G216" s="331"/>
      <c r="H216" s="331"/>
      <c r="I216" s="331"/>
      <c r="J216" s="331"/>
      <c r="K216" s="7" t="str">
        <f>Planilha!E64</f>
        <v>M</v>
      </c>
    </row>
    <row r="217" spans="1:13" x14ac:dyDescent="0.2">
      <c r="A217" s="53"/>
      <c r="B217" s="16"/>
      <c r="C217" s="8"/>
      <c r="D217" s="11"/>
      <c r="E217" s="103"/>
      <c r="F217" s="103"/>
      <c r="G217" s="11">
        <v>26.15</v>
      </c>
      <c r="H217" s="11"/>
      <c r="I217" s="11">
        <v>5.98</v>
      </c>
      <c r="J217" s="11" t="s">
        <v>52</v>
      </c>
      <c r="K217" s="100">
        <f>SUM(G217:I217)</f>
        <v>32.130000000000003</v>
      </c>
    </row>
    <row r="218" spans="1:13" x14ac:dyDescent="0.2">
      <c r="A218" s="53"/>
      <c r="B218" s="16"/>
      <c r="C218" s="8"/>
      <c r="D218" s="11"/>
      <c r="E218" s="103"/>
      <c r="F218" s="103"/>
      <c r="G218" s="11"/>
      <c r="H218" s="11"/>
      <c r="I218" s="11"/>
      <c r="J218" s="11"/>
      <c r="K218" s="7"/>
    </row>
    <row r="219" spans="1:13" x14ac:dyDescent="0.2">
      <c r="A219" s="83" t="str">
        <f>Planilha!A65</f>
        <v>5.3.3</v>
      </c>
      <c r="B219" s="83" t="str">
        <f>Planilha!B65</f>
        <v>COMPOSIÇÃO</v>
      </c>
      <c r="C219" s="83" t="str">
        <f>Planilha!C65</f>
        <v>CPU-006</v>
      </c>
      <c r="D219" s="331" t="str">
        <f>Planilha!D65</f>
        <v>PONTO DE ÁGUA FRIA APARENTE, C/MATERIAL PVC RÍGIDO SOLDÁVEL Ø 25MM</v>
      </c>
      <c r="E219" s="331"/>
      <c r="F219" s="331"/>
      <c r="G219" s="331"/>
      <c r="H219" s="331"/>
      <c r="I219" s="331"/>
      <c r="J219" s="331"/>
      <c r="K219" s="7" t="str">
        <f>Planilha!E65</f>
        <v xml:space="preserve">UN </v>
      </c>
    </row>
    <row r="220" spans="1:13" x14ac:dyDescent="0.2">
      <c r="A220" s="53"/>
      <c r="B220" s="16"/>
      <c r="C220" s="8"/>
      <c r="D220" s="11"/>
      <c r="E220" s="103"/>
      <c r="F220" s="103"/>
      <c r="G220" s="11">
        <v>26.15</v>
      </c>
      <c r="H220" s="11"/>
      <c r="I220" s="11">
        <v>5.98</v>
      </c>
      <c r="J220" s="11" t="s">
        <v>52</v>
      </c>
      <c r="K220" s="100">
        <f>SUM(G220:I220)</f>
        <v>32.130000000000003</v>
      </c>
    </row>
    <row r="221" spans="1:13" x14ac:dyDescent="0.2">
      <c r="A221" s="53"/>
      <c r="B221" s="16"/>
      <c r="C221" s="8"/>
      <c r="D221" s="11"/>
      <c r="E221" s="103"/>
      <c r="F221" s="103"/>
      <c r="G221" s="11"/>
      <c r="H221" s="11"/>
      <c r="I221" s="11"/>
      <c r="J221" s="11"/>
      <c r="K221" s="7"/>
    </row>
    <row r="222" spans="1:13" ht="26.25" customHeight="1" x14ac:dyDescent="0.2">
      <c r="A222" s="83" t="str">
        <f>Planilha!A66</f>
        <v>5.3.4</v>
      </c>
      <c r="B222" s="83" t="str">
        <f>Planilha!B66</f>
        <v>SICOR-MG</v>
      </c>
      <c r="C222" s="83" t="str">
        <f>Planilha!C66</f>
        <v>ED-51121</v>
      </c>
      <c r="D222" s="331" t="str">
        <f>Planilha!D66</f>
        <v>REATERRO MANUAL DE VALA, INCLUSIVE ESPALHAMENTO E COMPACTAÇÃO MECANIZADA COM PLACA VIBRATÓRIA (VALA DO ELETRODUTO)</v>
      </c>
      <c r="E222" s="331"/>
      <c r="F222" s="331"/>
      <c r="G222" s="331"/>
      <c r="H222" s="331"/>
      <c r="I222" s="331"/>
      <c r="J222" s="331"/>
      <c r="K222" s="7" t="str">
        <f>Planilha!E66</f>
        <v>M³</v>
      </c>
    </row>
    <row r="223" spans="1:13" x14ac:dyDescent="0.2">
      <c r="A223" s="53"/>
      <c r="B223" s="16"/>
      <c r="C223" s="8"/>
      <c r="D223" s="11"/>
      <c r="E223" s="103"/>
      <c r="F223" s="103"/>
      <c r="G223" s="11">
        <v>26.15</v>
      </c>
      <c r="H223" s="11"/>
      <c r="I223" s="11">
        <v>5.98</v>
      </c>
      <c r="J223" s="11" t="s">
        <v>52</v>
      </c>
      <c r="K223" s="100">
        <f>SUM(G223:I223)</f>
        <v>32.130000000000003</v>
      </c>
    </row>
    <row r="224" spans="1:13" x14ac:dyDescent="0.2">
      <c r="A224" s="53"/>
      <c r="B224" s="16"/>
      <c r="C224" s="8"/>
      <c r="D224" s="11"/>
      <c r="E224" s="103"/>
      <c r="F224" s="103"/>
      <c r="G224" s="11"/>
      <c r="H224" s="11"/>
      <c r="I224" s="11"/>
      <c r="J224" s="11"/>
      <c r="K224" s="7"/>
    </row>
    <row r="225" spans="1:11" x14ac:dyDescent="0.2">
      <c r="A225" s="211">
        <f>Planilha!A68</f>
        <v>6</v>
      </c>
      <c r="B225" s="19"/>
      <c r="C225" s="13"/>
      <c r="D225" s="333" t="str">
        <f>Planilha!D68</f>
        <v>PAISAGISMO</v>
      </c>
      <c r="E225" s="333"/>
      <c r="F225" s="333"/>
      <c r="G225" s="333"/>
      <c r="H225" s="333"/>
      <c r="I225" s="333"/>
      <c r="J225" s="333"/>
      <c r="K225" s="14">
        <f>Planilha!E62</f>
        <v>0</v>
      </c>
    </row>
    <row r="226" spans="1:11" x14ac:dyDescent="0.2">
      <c r="A226" s="83" t="str">
        <f>Planilha!A69</f>
        <v>6.1</v>
      </c>
      <c r="B226" s="83" t="str">
        <f>Planilha!B69</f>
        <v>SINAPI</v>
      </c>
      <c r="C226" s="83">
        <f>Planilha!C69</f>
        <v>103946</v>
      </c>
      <c r="D226" s="331" t="str">
        <f>Planilha!D69</f>
        <v>PLANTIO DE GRAMA ESMERALDA OU SÃO CARLOS OU CURITIBANA, EM PLACAS. AF_07/2024</v>
      </c>
      <c r="E226" s="331"/>
      <c r="F226" s="331"/>
      <c r="G226" s="331"/>
      <c r="H226" s="331"/>
      <c r="I226" s="331"/>
      <c r="J226" s="331"/>
      <c r="K226" s="7" t="str">
        <f>Planilha!E69</f>
        <v>M²</v>
      </c>
    </row>
    <row r="227" spans="1:11" x14ac:dyDescent="0.2">
      <c r="A227" s="83"/>
      <c r="B227" s="83"/>
      <c r="C227" s="83"/>
      <c r="D227" s="11"/>
      <c r="E227" s="11"/>
      <c r="F227" s="11"/>
      <c r="G227" s="11"/>
      <c r="H227" s="11"/>
      <c r="I227" s="11"/>
      <c r="J227" s="11"/>
      <c r="K227" s="7"/>
    </row>
    <row r="228" spans="1:11" x14ac:dyDescent="0.2">
      <c r="A228" s="83"/>
      <c r="B228" s="83"/>
      <c r="C228" s="83"/>
      <c r="D228" s="207" t="s">
        <v>198</v>
      </c>
      <c r="E228" s="7" t="s">
        <v>191</v>
      </c>
      <c r="F228" s="103"/>
      <c r="G228" s="103"/>
      <c r="H228" s="11"/>
      <c r="I228" s="11"/>
      <c r="J228" s="11" t="s">
        <v>52</v>
      </c>
      <c r="K228" s="103">
        <v>33.200000000000003</v>
      </c>
    </row>
    <row r="229" spans="1:11" x14ac:dyDescent="0.2">
      <c r="A229" s="83"/>
      <c r="B229" s="83"/>
      <c r="C229" s="83"/>
      <c r="D229" s="207" t="s">
        <v>198</v>
      </c>
      <c r="E229" s="7" t="s">
        <v>192</v>
      </c>
      <c r="F229" s="103"/>
      <c r="G229" s="103"/>
      <c r="H229" s="11"/>
      <c r="I229" s="11"/>
      <c r="J229" s="11" t="s">
        <v>52</v>
      </c>
      <c r="K229" s="103">
        <v>58.63</v>
      </c>
    </row>
    <row r="230" spans="1:11" x14ac:dyDescent="0.2">
      <c r="A230" s="83"/>
      <c r="B230" s="83"/>
      <c r="C230" s="83"/>
      <c r="D230" s="207" t="s">
        <v>198</v>
      </c>
      <c r="E230" s="7" t="s">
        <v>193</v>
      </c>
      <c r="F230" s="103"/>
      <c r="G230" s="103"/>
      <c r="H230" s="11"/>
      <c r="I230" s="11"/>
      <c r="J230" s="11" t="s">
        <v>52</v>
      </c>
      <c r="K230" s="103">
        <v>23.53</v>
      </c>
    </row>
    <row r="231" spans="1:11" x14ac:dyDescent="0.2">
      <c r="A231" s="83"/>
      <c r="B231" s="83"/>
      <c r="C231" s="83"/>
      <c r="D231" s="207" t="s">
        <v>198</v>
      </c>
      <c r="E231" s="7" t="s">
        <v>194</v>
      </c>
      <c r="F231" s="103"/>
      <c r="G231" s="103"/>
      <c r="H231" s="11"/>
      <c r="I231" s="11"/>
      <c r="J231" s="11" t="s">
        <v>52</v>
      </c>
      <c r="K231" s="103">
        <v>20.36</v>
      </c>
    </row>
    <row r="232" spans="1:11" x14ac:dyDescent="0.2">
      <c r="A232" s="83"/>
      <c r="B232" s="83"/>
      <c r="C232" s="83"/>
      <c r="D232" s="207" t="s">
        <v>198</v>
      </c>
      <c r="E232" s="7" t="s">
        <v>195</v>
      </c>
      <c r="F232" s="103"/>
      <c r="G232" s="103"/>
      <c r="H232" s="11"/>
      <c r="I232" s="11"/>
      <c r="J232" s="11" t="s">
        <v>52</v>
      </c>
      <c r="K232" s="103">
        <v>31.71</v>
      </c>
    </row>
    <row r="233" spans="1:11" x14ac:dyDescent="0.2">
      <c r="A233" s="83"/>
      <c r="B233" s="83"/>
      <c r="C233" s="83"/>
      <c r="D233" s="207" t="s">
        <v>199</v>
      </c>
      <c r="E233" s="7" t="s">
        <v>196</v>
      </c>
      <c r="F233" s="103"/>
      <c r="G233" s="103"/>
      <c r="H233" s="11"/>
      <c r="I233" s="11"/>
      <c r="J233" s="11" t="s">
        <v>52</v>
      </c>
      <c r="K233" s="103">
        <v>130.61000000000001</v>
      </c>
    </row>
    <row r="234" spans="1:11" x14ac:dyDescent="0.2">
      <c r="A234" s="53"/>
      <c r="B234" s="16"/>
      <c r="C234" s="8"/>
      <c r="D234" s="11"/>
      <c r="E234" s="103"/>
      <c r="F234" s="103"/>
      <c r="G234" s="11"/>
      <c r="H234" s="11"/>
      <c r="I234" s="11"/>
      <c r="J234" s="11"/>
      <c r="K234" s="100">
        <f>SUM(K228:K233)</f>
        <v>298.04000000000002</v>
      </c>
    </row>
    <row r="235" spans="1:11" x14ac:dyDescent="0.2">
      <c r="A235" s="53"/>
      <c r="B235" s="16"/>
      <c r="C235" s="8"/>
      <c r="D235" s="11"/>
      <c r="E235" s="103"/>
      <c r="F235" s="103"/>
      <c r="G235" s="11"/>
      <c r="H235" s="11"/>
      <c r="I235" s="11"/>
      <c r="J235" s="11"/>
      <c r="K235" s="7"/>
    </row>
    <row r="236" spans="1:11" x14ac:dyDescent="0.2">
      <c r="A236" s="83" t="str">
        <f>Planilha!A70</f>
        <v>6.2</v>
      </c>
      <c r="B236" s="83" t="str">
        <f>Planilha!B70</f>
        <v>EDUCAÇÃO-SP</v>
      </c>
      <c r="C236" s="83" t="str">
        <f>Planilha!C70</f>
        <v>16.03.066</v>
      </c>
      <c r="D236" s="331" t="str">
        <f>Planilha!D70</f>
        <v>ARBUSTO H=0.50 A 0.70M - AZALÉIA</v>
      </c>
      <c r="E236" s="331"/>
      <c r="F236" s="331"/>
      <c r="G236" s="331"/>
      <c r="H236" s="331"/>
      <c r="I236" s="331"/>
      <c r="J236" s="331"/>
      <c r="K236" s="7" t="str">
        <f>Planilha!E70</f>
        <v xml:space="preserve">UN </v>
      </c>
    </row>
    <row r="237" spans="1:11" x14ac:dyDescent="0.2">
      <c r="A237" s="53"/>
      <c r="B237" s="16"/>
      <c r="C237" s="8"/>
      <c r="D237" s="11"/>
      <c r="E237" s="103"/>
      <c r="F237" s="103"/>
      <c r="G237" s="11"/>
      <c r="H237" s="11"/>
      <c r="I237" s="11"/>
      <c r="J237" s="11" t="s">
        <v>52</v>
      </c>
      <c r="K237" s="100">
        <v>13</v>
      </c>
    </row>
    <row r="238" spans="1:11" x14ac:dyDescent="0.2">
      <c r="A238" s="53"/>
      <c r="B238" s="16"/>
      <c r="C238" s="8"/>
      <c r="D238" s="11"/>
      <c r="E238" s="103"/>
      <c r="F238" s="103"/>
      <c r="G238" s="11"/>
      <c r="H238" s="11"/>
      <c r="I238" s="11"/>
      <c r="J238" s="11"/>
      <c r="K238" s="7"/>
    </row>
    <row r="239" spans="1:11" x14ac:dyDescent="0.2">
      <c r="A239" s="83" t="str">
        <f>Planilha!A71</f>
        <v>6.3</v>
      </c>
      <c r="B239" s="83" t="str">
        <f>Planilha!B71</f>
        <v>COMPOSIÇÃO</v>
      </c>
      <c r="C239" s="83" t="str">
        <f>Planilha!C71</f>
        <v>CPU-012</v>
      </c>
      <c r="D239" s="331" t="str">
        <f>Planilha!D71</f>
        <v>ARBUSTO H=0.60 A 0.80M - AMETISTA</v>
      </c>
      <c r="E239" s="331"/>
      <c r="F239" s="331"/>
      <c r="G239" s="331"/>
      <c r="H239" s="331"/>
      <c r="I239" s="331"/>
      <c r="J239" s="331"/>
      <c r="K239" s="7" t="str">
        <f>Planilha!E71</f>
        <v xml:space="preserve">UN </v>
      </c>
    </row>
    <row r="240" spans="1:11" x14ac:dyDescent="0.2">
      <c r="A240" s="53"/>
      <c r="B240" s="16"/>
      <c r="C240" s="8"/>
      <c r="D240" s="11"/>
      <c r="E240" s="103"/>
      <c r="F240" s="103"/>
      <c r="G240" s="11"/>
      <c r="H240" s="11"/>
      <c r="I240" s="11"/>
      <c r="J240" s="11" t="s">
        <v>52</v>
      </c>
      <c r="K240" s="100">
        <v>19</v>
      </c>
    </row>
    <row r="241" spans="1:11" x14ac:dyDescent="0.2">
      <c r="A241" s="53"/>
      <c r="B241" s="16"/>
      <c r="C241" s="8"/>
      <c r="D241" s="11"/>
      <c r="E241" s="103"/>
      <c r="F241" s="103"/>
      <c r="G241" s="11"/>
      <c r="H241" s="11"/>
      <c r="I241" s="11"/>
      <c r="J241" s="11"/>
      <c r="K241" s="7"/>
    </row>
    <row r="242" spans="1:11" x14ac:dyDescent="0.2">
      <c r="A242" s="83" t="str">
        <f>Planilha!A72</f>
        <v>6.4</v>
      </c>
      <c r="B242" s="83" t="str">
        <f>Planilha!B72</f>
        <v>EDUCAÇÃO-SP</v>
      </c>
      <c r="C242" s="83" t="str">
        <f>Planilha!C72</f>
        <v>16.03.316</v>
      </c>
      <c r="D242" s="331" t="str">
        <f>Planilha!D72</f>
        <v>ARBUSTO MUSSAENDA H=0,50 A 0,70M</v>
      </c>
      <c r="E242" s="331"/>
      <c r="F242" s="331"/>
      <c r="G242" s="331"/>
      <c r="H242" s="331"/>
      <c r="I242" s="331"/>
      <c r="J242" s="331"/>
      <c r="K242" s="7" t="str">
        <f>Planilha!E72</f>
        <v xml:space="preserve">UN </v>
      </c>
    </row>
    <row r="243" spans="1:11" x14ac:dyDescent="0.2">
      <c r="A243" s="53"/>
      <c r="B243" s="16"/>
      <c r="C243" s="8"/>
      <c r="D243" s="11"/>
      <c r="E243" s="103"/>
      <c r="F243" s="103"/>
      <c r="G243" s="11"/>
      <c r="H243" s="11"/>
      <c r="I243" s="11"/>
      <c r="J243" s="11" t="s">
        <v>52</v>
      </c>
      <c r="K243" s="100">
        <v>1</v>
      </c>
    </row>
    <row r="244" spans="1:11" x14ac:dyDescent="0.2">
      <c r="A244" s="53"/>
      <c r="B244" s="16"/>
      <c r="C244" s="8"/>
      <c r="D244" s="11"/>
      <c r="E244" s="103"/>
      <c r="F244" s="103"/>
      <c r="G244" s="11"/>
      <c r="H244" s="11"/>
      <c r="I244" s="11"/>
      <c r="J244" s="11"/>
      <c r="K244" s="7"/>
    </row>
    <row r="245" spans="1:11" x14ac:dyDescent="0.2">
      <c r="A245" s="54">
        <f>Planilha!A74</f>
        <v>7</v>
      </c>
      <c r="B245" s="19"/>
      <c r="C245" s="13"/>
      <c r="D245" s="333" t="str">
        <f>Planilha!D74</f>
        <v>EQUIPAMENTOS E BRIQUEDOS</v>
      </c>
      <c r="E245" s="333"/>
      <c r="F245" s="333"/>
      <c r="G245" s="333"/>
      <c r="H245" s="333"/>
      <c r="I245" s="333"/>
      <c r="J245" s="333"/>
      <c r="K245" s="14"/>
    </row>
    <row r="246" spans="1:11" ht="29.25" customHeight="1" x14ac:dyDescent="0.2">
      <c r="A246" s="83" t="str">
        <f>Planilha!A75</f>
        <v>7.1</v>
      </c>
      <c r="B246" s="83" t="str">
        <f>Planilha!B75</f>
        <v>SUDECAP</v>
      </c>
      <c r="C246" s="83" t="str">
        <f>Planilha!C75</f>
        <v>18.76.03</v>
      </c>
      <c r="D246" s="331" t="str">
        <f>Planilha!D75</f>
        <v>COLETOR DE RESÍDUO LEVE - LIXEIRA - CESTO COLETOR RESÍDUO (LIXEIRA) METÁLICO SIMPLES QUADRADO PADRÃO SLU MQS</v>
      </c>
      <c r="E246" s="331"/>
      <c r="F246" s="331"/>
      <c r="G246" s="331"/>
      <c r="H246" s="331"/>
      <c r="I246" s="331"/>
      <c r="J246" s="331"/>
      <c r="K246" s="7" t="str">
        <f>Planilha!E75</f>
        <v xml:space="preserve">UN </v>
      </c>
    </row>
    <row r="247" spans="1:11" ht="13.5" x14ac:dyDescent="0.25">
      <c r="A247" s="53"/>
      <c r="B247" s="16"/>
      <c r="C247" s="8"/>
      <c r="D247" s="121"/>
      <c r="E247" s="103"/>
      <c r="F247" s="103"/>
      <c r="G247" s="103"/>
      <c r="H247" s="103"/>
      <c r="I247" s="103" t="s">
        <v>15</v>
      </c>
      <c r="J247" s="11" t="s">
        <v>52</v>
      </c>
      <c r="K247" s="100">
        <v>10</v>
      </c>
    </row>
    <row r="248" spans="1:11" x14ac:dyDescent="0.2">
      <c r="A248" s="53"/>
      <c r="B248" s="16"/>
      <c r="C248" s="8"/>
      <c r="D248" s="89"/>
      <c r="E248" s="90"/>
      <c r="F248" s="90"/>
      <c r="G248" s="90"/>
      <c r="H248" s="90"/>
      <c r="I248" s="90"/>
      <c r="J248" s="91"/>
      <c r="K248" s="7"/>
    </row>
    <row r="249" spans="1:11" ht="39" customHeight="1" x14ac:dyDescent="0.2">
      <c r="A249" s="83" t="str">
        <f>Planilha!A76</f>
        <v>7.2</v>
      </c>
      <c r="B249" s="83" t="str">
        <f>Planilha!B76</f>
        <v>OBRAS-SP</v>
      </c>
      <c r="C249" s="83" t="str">
        <f>Planilha!C76</f>
        <v>34.20.384</v>
      </c>
      <c r="D249" s="331" t="str">
        <f>Planilha!D76</f>
        <v>BICICLETÁRIO MODELO U INVERTIDO EM TUBO CIRCULAR DE AÇO Ø 2", SEM EMENDAS, MEDIDAS DE 82CM ALTURA E 78CM LARGURA, COM ACABAMENTO EM PINTURA ELETROSTÁTICA, PARA FIXAÇÃO CHUMBADO</v>
      </c>
      <c r="E249" s="331"/>
      <c r="F249" s="331"/>
      <c r="G249" s="331"/>
      <c r="H249" s="331"/>
      <c r="I249" s="331"/>
      <c r="J249" s="331"/>
      <c r="K249" s="7" t="str">
        <f>Planilha!E76</f>
        <v xml:space="preserve">UN </v>
      </c>
    </row>
    <row r="250" spans="1:11" ht="13.5" x14ac:dyDescent="0.25">
      <c r="A250" s="53"/>
      <c r="B250" s="16"/>
      <c r="C250" s="8"/>
      <c r="D250" s="121"/>
      <c r="E250" s="103"/>
      <c r="F250" s="103"/>
      <c r="G250" s="103"/>
      <c r="H250" s="103"/>
      <c r="I250" s="103" t="s">
        <v>15</v>
      </c>
      <c r="J250" s="11" t="s">
        <v>52</v>
      </c>
      <c r="K250" s="100">
        <v>24</v>
      </c>
    </row>
    <row r="251" spans="1:11" ht="13.5" x14ac:dyDescent="0.25">
      <c r="A251" s="53"/>
      <c r="B251" s="16"/>
      <c r="C251" s="8"/>
      <c r="D251" s="337"/>
      <c r="E251" s="338"/>
      <c r="F251" s="338"/>
      <c r="G251" s="338"/>
      <c r="H251" s="338"/>
      <c r="I251" s="339"/>
      <c r="J251" s="11"/>
      <c r="K251" s="103"/>
    </row>
    <row r="252" spans="1:11" ht="28.5" customHeight="1" x14ac:dyDescent="0.2">
      <c r="A252" s="83" t="str">
        <f>Planilha!A77</f>
        <v>7.3</v>
      </c>
      <c r="B252" s="83" t="str">
        <f>Planilha!B77</f>
        <v>ORSE</v>
      </c>
      <c r="C252" s="83">
        <f>Planilha!C77</f>
        <v>2411</v>
      </c>
      <c r="D252" s="331" t="str">
        <f>Planilha!D77</f>
        <v>BANCO COM ENCOSTO, COMPR=1,50M, LARGURA=30CM, PÉ DE FERRO FUNDIDO E COM 10 RÉGUAS DE MADEIRA, INCLUSIVE PINTURA</v>
      </c>
      <c r="E252" s="331"/>
      <c r="F252" s="331"/>
      <c r="G252" s="331"/>
      <c r="H252" s="331"/>
      <c r="I252" s="331"/>
      <c r="J252" s="331"/>
      <c r="K252" s="7" t="str">
        <f>Planilha!E77</f>
        <v xml:space="preserve">UN </v>
      </c>
    </row>
    <row r="253" spans="1:11" ht="13.5" x14ac:dyDescent="0.25">
      <c r="A253" s="53"/>
      <c r="B253" s="16"/>
      <c r="C253" s="8"/>
      <c r="D253" s="121"/>
      <c r="E253" s="11"/>
      <c r="F253" s="11"/>
      <c r="G253" s="11"/>
      <c r="H253" s="11"/>
      <c r="I253" s="103" t="s">
        <v>15</v>
      </c>
      <c r="J253" s="11" t="s">
        <v>52</v>
      </c>
      <c r="K253" s="100">
        <v>23</v>
      </c>
    </row>
    <row r="254" spans="1:11" x14ac:dyDescent="0.2">
      <c r="A254" s="53"/>
      <c r="B254" s="16"/>
      <c r="C254" s="8"/>
      <c r="D254" s="89"/>
      <c r="E254" s="90"/>
      <c r="F254" s="90"/>
      <c r="G254" s="90"/>
      <c r="H254" s="90"/>
      <c r="I254" s="90"/>
      <c r="J254" s="91"/>
      <c r="K254" s="7"/>
    </row>
    <row r="255" spans="1:11" ht="39.75" customHeight="1" x14ac:dyDescent="0.2">
      <c r="A255" s="83" t="str">
        <f>Planilha!A78</f>
        <v>7.4</v>
      </c>
      <c r="B255" s="83" t="str">
        <f>Planilha!B78</f>
        <v>EMOP</v>
      </c>
      <c r="C255" s="83" t="str">
        <f>Planilha!C78</f>
        <v>09.014.0015-0</v>
      </c>
      <c r="D255" s="334" t="str">
        <f>Planilha!D78</f>
        <v>MESA DE JOGOS COM 4 BANCOS,TAMPO DE MESA EM MARMORITE ARMADO,NA COR NATURAL,TENDO NO CENTRO TABULEIRO DE XADREZ EM MARMORITE NAS CORES BRANCA E PRETA,PES(MESA E BANCOS)DE CONCRETOARMADO.FORNECIMENTO E COLOCACAO</v>
      </c>
      <c r="E255" s="335"/>
      <c r="F255" s="335"/>
      <c r="G255" s="335"/>
      <c r="H255" s="335"/>
      <c r="I255" s="335"/>
      <c r="J255" s="336"/>
      <c r="K255" s="83" t="str">
        <f>Planilha!E78</f>
        <v xml:space="preserve">UN </v>
      </c>
    </row>
    <row r="256" spans="1:11" ht="13.5" x14ac:dyDescent="0.25">
      <c r="A256" s="53"/>
      <c r="B256" s="16"/>
      <c r="C256" s="8"/>
      <c r="D256" s="121"/>
      <c r="E256" s="11"/>
      <c r="F256" s="11"/>
      <c r="G256" s="11"/>
      <c r="H256" s="11"/>
      <c r="I256" s="103" t="s">
        <v>15</v>
      </c>
      <c r="J256" s="11" t="s">
        <v>52</v>
      </c>
      <c r="K256" s="100">
        <v>4</v>
      </c>
    </row>
    <row r="257" spans="1:11" ht="13.5" x14ac:dyDescent="0.25">
      <c r="A257" s="53"/>
      <c r="B257" s="16"/>
      <c r="C257" s="8"/>
      <c r="D257" s="121"/>
      <c r="E257" s="11"/>
      <c r="F257" s="11"/>
      <c r="G257" s="11"/>
      <c r="H257" s="11"/>
      <c r="I257" s="103"/>
      <c r="J257" s="11"/>
      <c r="K257" s="7"/>
    </row>
    <row r="258" spans="1:11" ht="27.75" customHeight="1" x14ac:dyDescent="0.2">
      <c r="A258" s="83" t="str">
        <f>Planilha!A79</f>
        <v>7.5</v>
      </c>
      <c r="B258" s="83" t="str">
        <f>Planilha!B79</f>
        <v>COMPOSIÇÃO</v>
      </c>
      <c r="C258" s="83" t="str">
        <f>Planilha!C79</f>
        <v>CPU-007</v>
      </c>
      <c r="D258" s="334" t="str">
        <f>Planilha!D79</f>
        <v xml:space="preserve">BARRA DE SALTO COM APOIO EM MADEIRA ROLIÇA DE EUCALÍPTO TRATADO, D=20CM, E BARRA DE AÇO GALVANIZADA DE 1,20M DE COMPRIMENTO. </v>
      </c>
      <c r="E258" s="335"/>
      <c r="F258" s="335"/>
      <c r="G258" s="335"/>
      <c r="H258" s="335"/>
      <c r="I258" s="335"/>
      <c r="J258" s="336"/>
      <c r="K258" s="83" t="str">
        <f>Planilha!E79</f>
        <v xml:space="preserve">UN </v>
      </c>
    </row>
    <row r="259" spans="1:11" ht="13.5" x14ac:dyDescent="0.25">
      <c r="A259" s="53"/>
      <c r="B259" s="16"/>
      <c r="C259" s="8"/>
      <c r="D259" s="121"/>
      <c r="E259" s="11"/>
      <c r="F259" s="11"/>
      <c r="G259" s="11"/>
      <c r="H259" s="11"/>
      <c r="I259" s="103" t="s">
        <v>15</v>
      </c>
      <c r="J259" s="11" t="s">
        <v>52</v>
      </c>
      <c r="K259" s="100">
        <v>6</v>
      </c>
    </row>
    <row r="260" spans="1:11" ht="13.5" x14ac:dyDescent="0.25">
      <c r="A260" s="53"/>
      <c r="B260" s="16"/>
      <c r="C260" s="8"/>
      <c r="D260" s="121"/>
      <c r="E260" s="11"/>
      <c r="F260" s="11"/>
      <c r="G260" s="11"/>
      <c r="H260" s="11"/>
      <c r="I260" s="103"/>
      <c r="J260" s="11"/>
      <c r="K260" s="7"/>
    </row>
    <row r="261" spans="1:11" ht="42" customHeight="1" x14ac:dyDescent="0.2">
      <c r="A261" s="83" t="str">
        <f>Planilha!A80</f>
        <v>7.6</v>
      </c>
      <c r="B261" s="83" t="str">
        <f>Planilha!B80</f>
        <v>COMPOSIÇÃO</v>
      </c>
      <c r="C261" s="83" t="str">
        <f>Planilha!C80</f>
        <v>CPU-008</v>
      </c>
      <c r="D261" s="334" t="str">
        <f>Planilha!D80</f>
        <v>RAMPA PARA CÃES EM MADEIRA CUMARU OU SIMILAR, COM RAMPAS COM 0,80M DE LARGURA, EXECUTADA COM ASSOALHO DE PAU DARCO SOBRE DUAS PEÇAS 7 X 15CM. PILARETES EM MADEIRA CUMARU 0,1X0,1M (LARG. X COMP.) APOIADA EM BASE.FORNECIMENTO E INSTALAÇÃO</v>
      </c>
      <c r="E261" s="335"/>
      <c r="F261" s="335"/>
      <c r="G261" s="335"/>
      <c r="H261" s="335"/>
      <c r="I261" s="335"/>
      <c r="J261" s="336"/>
      <c r="K261" s="83" t="str">
        <f>Planilha!E80</f>
        <v xml:space="preserve">UN </v>
      </c>
    </row>
    <row r="262" spans="1:11" ht="13.5" x14ac:dyDescent="0.25">
      <c r="A262" s="53"/>
      <c r="B262" s="16"/>
      <c r="C262" s="8"/>
      <c r="D262" s="121"/>
      <c r="E262" s="11"/>
      <c r="F262" s="11"/>
      <c r="G262" s="11"/>
      <c r="H262" s="11"/>
      <c r="I262" s="103" t="s">
        <v>15</v>
      </c>
      <c r="J262" s="11" t="s">
        <v>52</v>
      </c>
      <c r="K262" s="100">
        <v>1</v>
      </c>
    </row>
    <row r="263" spans="1:11" ht="13.5" x14ac:dyDescent="0.25">
      <c r="A263" s="53"/>
      <c r="B263" s="16"/>
      <c r="C263" s="8"/>
      <c r="D263" s="121"/>
      <c r="E263" s="11"/>
      <c r="F263" s="11"/>
      <c r="G263" s="11"/>
      <c r="H263" s="11"/>
      <c r="I263" s="103"/>
      <c r="J263" s="11"/>
      <c r="K263" s="7"/>
    </row>
    <row r="264" spans="1:11" ht="66.75" customHeight="1" x14ac:dyDescent="0.2">
      <c r="A264" s="83" t="str">
        <f>Planilha!A81</f>
        <v>7.7</v>
      </c>
      <c r="B264" s="83" t="str">
        <f>Planilha!B81</f>
        <v>COMPOSIÇÃO</v>
      </c>
      <c r="C264" s="83" t="str">
        <f>Planilha!C81</f>
        <v>CPU-009</v>
      </c>
      <c r="D264" s="334" t="str">
        <f>Planilha!D81</f>
        <v>PASSARELA PET EM MADEIRA CUMARU OU SIMILAR, COM RAMPAS COM 0,80M DE LARGURA, EXECUTADA COM ASSOALHO DE PAU DARCO SOBRE DUAS PEÇAS 7 X 15CM E PATAMAR COM ASSOALHO DE MADEIRA COM DIMENSÕES 1,00X1,00X1,00M (LARG. X COMP. X ALT.). PILARETES EM MADEIRA CUMARU 0,1X0,1M (LARG. X COMP.) APOIADA EM BASE EM CONCRETO 20 MPA, COM DIMENSÕES 0,3X0,3X0,3M (LARG. X COMP. X ALT.).FORNECIMENTO E INSTALAÇÃO</v>
      </c>
      <c r="E264" s="335"/>
      <c r="F264" s="335"/>
      <c r="G264" s="335"/>
      <c r="H264" s="335"/>
      <c r="I264" s="335"/>
      <c r="J264" s="336"/>
      <c r="K264" s="83" t="str">
        <f>Planilha!E81</f>
        <v xml:space="preserve">UN </v>
      </c>
    </row>
    <row r="265" spans="1:11" ht="13.5" x14ac:dyDescent="0.25">
      <c r="A265" s="53"/>
      <c r="B265" s="16"/>
      <c r="C265" s="8"/>
      <c r="D265" s="121"/>
      <c r="E265" s="11"/>
      <c r="F265" s="11"/>
      <c r="G265" s="11"/>
      <c r="H265" s="11"/>
      <c r="I265" s="103" t="s">
        <v>15</v>
      </c>
      <c r="J265" s="11" t="s">
        <v>52</v>
      </c>
      <c r="K265" s="100">
        <v>1</v>
      </c>
    </row>
    <row r="266" spans="1:11" ht="13.5" x14ac:dyDescent="0.25">
      <c r="A266" s="53"/>
      <c r="B266" s="16"/>
      <c r="C266" s="8"/>
      <c r="D266" s="121"/>
      <c r="E266" s="11"/>
      <c r="F266" s="11"/>
      <c r="G266" s="11"/>
      <c r="H266" s="11"/>
      <c r="I266" s="103"/>
      <c r="J266" s="11"/>
      <c r="K266" s="7"/>
    </row>
    <row r="267" spans="1:11" ht="27" customHeight="1" x14ac:dyDescent="0.2">
      <c r="A267" s="83" t="str">
        <f>Planilha!A82</f>
        <v>7.8</v>
      </c>
      <c r="B267" s="83" t="str">
        <f>Planilha!B82</f>
        <v>SIURB</v>
      </c>
      <c r="C267" s="83">
        <f>Planilha!C82</f>
        <v>18014041</v>
      </c>
      <c r="D267" s="334" t="str">
        <f>Planilha!D82</f>
        <v>PLAYGROUND BRINQUEDOS DE MADEIRA - CASA TARZAN COM RAMPA ESCALADA, ESCORREGADOR, PONTE E ESCADA MARINHEIRO</v>
      </c>
      <c r="E267" s="335"/>
      <c r="F267" s="335"/>
      <c r="G267" s="335"/>
      <c r="H267" s="335"/>
      <c r="I267" s="335"/>
      <c r="J267" s="336"/>
      <c r="K267" s="83" t="str">
        <f>Planilha!E82</f>
        <v xml:space="preserve">UN </v>
      </c>
    </row>
    <row r="268" spans="1:11" ht="13.5" x14ac:dyDescent="0.25">
      <c r="A268" s="53"/>
      <c r="B268" s="16"/>
      <c r="C268" s="8"/>
      <c r="D268" s="121"/>
      <c r="E268" s="11"/>
      <c r="F268" s="11"/>
      <c r="G268" s="11"/>
      <c r="H268" s="11"/>
      <c r="I268" s="103" t="s">
        <v>15</v>
      </c>
      <c r="J268" s="11" t="s">
        <v>52</v>
      </c>
      <c r="K268" s="100">
        <v>1</v>
      </c>
    </row>
    <row r="269" spans="1:11" ht="13.5" x14ac:dyDescent="0.25">
      <c r="A269" s="53"/>
      <c r="B269" s="16"/>
      <c r="C269" s="8"/>
      <c r="D269" s="121"/>
      <c r="E269" s="11"/>
      <c r="F269" s="11"/>
      <c r="G269" s="11"/>
      <c r="H269" s="11"/>
      <c r="I269" s="103"/>
      <c r="J269" s="11"/>
      <c r="K269" s="7"/>
    </row>
    <row r="270" spans="1:11" ht="54.75" customHeight="1" x14ac:dyDescent="0.2">
      <c r="A270" s="83" t="str">
        <f>Planilha!A83</f>
        <v>7.9</v>
      </c>
      <c r="B270" s="83" t="str">
        <f>Planilha!B83</f>
        <v>COMPOSIÇÃO</v>
      </c>
      <c r="C270" s="83" t="str">
        <f>Planilha!C83</f>
        <v>CPU-010</v>
      </c>
      <c r="D270" s="334" t="str">
        <f>Planilha!D83</f>
        <v>TÚNEL PARA CÃES, COM TAMBOR PLÁSTICO DUPLO (VERDE OU AZUL), COM DIÂMETRO DE 0,55M  E COMPRIMENTO TOTAL IGUAL A 1,70M. COM QUADRO ESTRUTURADO EM MADEIRA CUMARU OU SIMILAR, CAIBRO APARELHADO, LARG. 5,0 X 5,0CM. COM PASSARELA EM TÁBUA DE MADEIRA DE LEI INTERNA PINTADA, LARG. DE 0,20M.</v>
      </c>
      <c r="E270" s="335"/>
      <c r="F270" s="335"/>
      <c r="G270" s="335"/>
      <c r="H270" s="335"/>
      <c r="I270" s="335"/>
      <c r="J270" s="336"/>
      <c r="K270" s="83" t="str">
        <f>Planilha!E83</f>
        <v>M</v>
      </c>
    </row>
    <row r="271" spans="1:11" ht="13.5" x14ac:dyDescent="0.25">
      <c r="A271" s="53"/>
      <c r="B271" s="16"/>
      <c r="C271" s="8"/>
      <c r="D271" s="121"/>
      <c r="E271" s="11"/>
      <c r="F271" s="11"/>
      <c r="G271" s="11"/>
      <c r="H271" s="11"/>
      <c r="I271" s="103" t="s">
        <v>15</v>
      </c>
      <c r="J271" s="11" t="s">
        <v>52</v>
      </c>
      <c r="K271" s="100">
        <v>1</v>
      </c>
    </row>
    <row r="272" spans="1:11" ht="13.5" x14ac:dyDescent="0.25">
      <c r="A272" s="53"/>
      <c r="B272" s="16"/>
      <c r="C272" s="8"/>
      <c r="D272" s="121"/>
      <c r="E272" s="11"/>
      <c r="F272" s="11"/>
      <c r="G272" s="11"/>
      <c r="H272" s="11"/>
      <c r="I272" s="103"/>
      <c r="J272" s="11"/>
      <c r="K272" s="7"/>
    </row>
    <row r="273" spans="1:16" ht="13.5" x14ac:dyDescent="0.25">
      <c r="A273" s="110"/>
      <c r="B273" s="111"/>
      <c r="C273" s="112"/>
      <c r="D273" s="219"/>
      <c r="E273" s="113"/>
      <c r="F273" s="113"/>
      <c r="G273" s="113"/>
      <c r="H273" s="113"/>
      <c r="I273" s="209"/>
      <c r="J273" s="113"/>
      <c r="K273" s="220"/>
    </row>
    <row r="274" spans="1:16" ht="78" customHeight="1" x14ac:dyDescent="0.2">
      <c r="A274" s="83" t="str">
        <f>Planilha!A84</f>
        <v>7.10</v>
      </c>
      <c r="B274" s="83" t="str">
        <f>Planilha!B84</f>
        <v>COMPOSIÇÃO</v>
      </c>
      <c r="C274" s="83" t="str">
        <f>Planilha!C84</f>
        <v>CPU-011</v>
      </c>
      <c r="D274" s="334" t="str">
        <f>Planilha!D84</f>
        <v xml:space="preserve">ARGOLA DE SALTO DE MADEIRA CUMARU OU SIMILAR, APARELHADA, IMUNIZADA E ENVERNIZADA, COM 2,0M DE LARGURA E 1,55M DE ALTURA. PILAR E VIGA COM DIMENSÕES 10X10CM, APARELHADA, COM QUINAS BAULADAS. ARGOLA EM TUBO DE AÇO GALNANIZADO, DI=50MM E ESP.=3,00MM, FIXADA COM CORRENTE GALVANIZADA ELO CURTO, ESP.= 6,0MM, COM PINTURA ESMALTE  FUNDO ANTICORROSIVO. INCLUSIVE ESCAVAÇÃO, CONCRETAGEM E REATERRO DE FUNDAÇÕES. </v>
      </c>
      <c r="E274" s="335"/>
      <c r="F274" s="335"/>
      <c r="G274" s="335"/>
      <c r="H274" s="335"/>
      <c r="I274" s="335"/>
      <c r="J274" s="336"/>
      <c r="K274" s="83" t="str">
        <f>Planilha!E84</f>
        <v xml:space="preserve">UN </v>
      </c>
    </row>
    <row r="275" spans="1:16" ht="13.5" x14ac:dyDescent="0.25">
      <c r="A275" s="53"/>
      <c r="B275" s="16"/>
      <c r="C275" s="8"/>
      <c r="D275" s="121"/>
      <c r="E275" s="11"/>
      <c r="F275" s="11"/>
      <c r="G275" s="11"/>
      <c r="H275" s="11"/>
      <c r="I275" s="103" t="s">
        <v>15</v>
      </c>
      <c r="J275" s="11" t="s">
        <v>52</v>
      </c>
      <c r="K275" s="100">
        <v>1</v>
      </c>
    </row>
    <row r="276" spans="1:16" ht="13.5" x14ac:dyDescent="0.25">
      <c r="A276" s="53"/>
      <c r="B276" s="16"/>
      <c r="C276" s="8"/>
      <c r="D276" s="121"/>
      <c r="E276" s="11"/>
      <c r="F276" s="11"/>
      <c r="G276" s="11"/>
      <c r="H276" s="11"/>
      <c r="I276" s="103"/>
      <c r="J276" s="11"/>
      <c r="K276" s="7"/>
    </row>
    <row r="277" spans="1:16" x14ac:dyDescent="0.2">
      <c r="A277" s="54">
        <f>Planilha!A86</f>
        <v>8</v>
      </c>
      <c r="B277" s="19"/>
      <c r="C277" s="13"/>
      <c r="D277" s="333" t="str">
        <f>Planilha!D86</f>
        <v>DRENAGEM</v>
      </c>
      <c r="E277" s="333"/>
      <c r="F277" s="333"/>
      <c r="G277" s="333"/>
      <c r="H277" s="333"/>
      <c r="I277" s="333"/>
      <c r="J277" s="333"/>
      <c r="K277" s="14"/>
    </row>
    <row r="278" spans="1:16" ht="27" customHeight="1" x14ac:dyDescent="0.2">
      <c r="A278" s="83" t="str">
        <f>Planilha!A87</f>
        <v>8.1</v>
      </c>
      <c r="B278" s="83" t="str">
        <f>Planilha!B87</f>
        <v>SICOR-MG</v>
      </c>
      <c r="C278" s="83" t="str">
        <f>Planilha!C87</f>
        <v>ED-51107</v>
      </c>
      <c r="D278" s="331" t="str">
        <f>Planilha!D87</f>
        <v>ESCAVAÇÃO MANUAL DE VALA COM PROFUNDIDADE MENOR OU IGUAL A 1,5M, INCLUSIVE DESCARGA LATERAL</v>
      </c>
      <c r="E278" s="331"/>
      <c r="F278" s="331"/>
      <c r="G278" s="331"/>
      <c r="H278" s="331"/>
      <c r="I278" s="331"/>
      <c r="J278" s="331"/>
      <c r="K278" s="7" t="str">
        <f>Planilha!E87</f>
        <v>M3</v>
      </c>
    </row>
    <row r="279" spans="1:16" x14ac:dyDescent="0.2">
      <c r="A279" s="83"/>
      <c r="B279" s="83"/>
      <c r="C279" s="83"/>
      <c r="D279" s="11"/>
      <c r="E279" s="11" t="s">
        <v>108</v>
      </c>
      <c r="F279" s="11"/>
      <c r="G279" s="11" t="s">
        <v>85</v>
      </c>
      <c r="H279" s="11"/>
      <c r="I279" s="11" t="s">
        <v>415</v>
      </c>
      <c r="J279" s="11"/>
      <c r="K279" s="7"/>
    </row>
    <row r="280" spans="1:16" x14ac:dyDescent="0.2">
      <c r="A280" s="83"/>
      <c r="B280" s="11" t="s">
        <v>412</v>
      </c>
      <c r="C280" s="83"/>
      <c r="D280" s="11"/>
      <c r="E280" s="223">
        <v>0.57299999999999995</v>
      </c>
      <c r="F280" s="11" t="s">
        <v>82</v>
      </c>
      <c r="G280" s="11">
        <v>13.7</v>
      </c>
      <c r="H280" s="11"/>
      <c r="I280" s="11"/>
      <c r="J280" s="11" t="s">
        <v>52</v>
      </c>
      <c r="K280" s="7">
        <f>ROUND(E280*G280,2)</f>
        <v>7.85</v>
      </c>
    </row>
    <row r="281" spans="1:16" x14ac:dyDescent="0.2">
      <c r="A281" s="83"/>
      <c r="B281" s="11" t="s">
        <v>413</v>
      </c>
      <c r="C281" s="83"/>
      <c r="D281" s="11"/>
      <c r="E281" s="223">
        <v>0.57299999999999995</v>
      </c>
      <c r="F281" s="11" t="s">
        <v>82</v>
      </c>
      <c r="G281" s="11">
        <v>9.1</v>
      </c>
      <c r="H281" s="11"/>
      <c r="I281" s="11"/>
      <c r="J281" s="11" t="s">
        <v>52</v>
      </c>
      <c r="K281" s="7">
        <f>ROUND(E281*G281,2)</f>
        <v>5.21</v>
      </c>
    </row>
    <row r="282" spans="1:16" x14ac:dyDescent="0.2">
      <c r="A282" s="83"/>
      <c r="B282" s="11" t="s">
        <v>414</v>
      </c>
      <c r="C282" s="83"/>
      <c r="D282" s="11"/>
      <c r="E282" s="223">
        <v>0.57299999999999995</v>
      </c>
      <c r="F282" s="11" t="s">
        <v>82</v>
      </c>
      <c r="G282" s="11">
        <v>8.25</v>
      </c>
      <c r="H282" s="11"/>
      <c r="I282" s="11"/>
      <c r="J282" s="11" t="s">
        <v>52</v>
      </c>
      <c r="K282" s="7">
        <f>ROUND(E282*G282,2)</f>
        <v>4.7300000000000004</v>
      </c>
    </row>
    <row r="283" spans="1:16" x14ac:dyDescent="0.2">
      <c r="A283" s="83"/>
      <c r="B283" s="224" t="s">
        <v>416</v>
      </c>
      <c r="C283" s="83"/>
      <c r="D283" s="11"/>
      <c r="E283" s="11">
        <f>2*2</f>
        <v>4</v>
      </c>
      <c r="F283" s="11" t="s">
        <v>82</v>
      </c>
      <c r="G283" s="11">
        <v>0.7</v>
      </c>
      <c r="H283" s="11" t="s">
        <v>82</v>
      </c>
      <c r="I283" s="11">
        <v>4</v>
      </c>
      <c r="J283" s="11" t="s">
        <v>52</v>
      </c>
      <c r="K283" s="7">
        <f>ROUND(E283*G283*I283,2)</f>
        <v>11.2</v>
      </c>
    </row>
    <row r="284" spans="1:16" x14ac:dyDescent="0.2">
      <c r="A284" s="83"/>
      <c r="B284" s="83"/>
      <c r="C284" s="83"/>
      <c r="D284" s="11"/>
      <c r="E284" s="11"/>
      <c r="F284" s="11"/>
      <c r="G284" s="11"/>
      <c r="H284" s="11"/>
      <c r="I284" s="11"/>
      <c r="J284" s="11"/>
      <c r="K284" s="7"/>
    </row>
    <row r="285" spans="1:16" ht="13.5" x14ac:dyDescent="0.25">
      <c r="A285" s="53"/>
      <c r="B285" s="16"/>
      <c r="C285" s="8"/>
      <c r="D285" s="121"/>
      <c r="E285" s="103"/>
      <c r="F285" s="103"/>
      <c r="G285" s="103"/>
      <c r="H285" s="103"/>
      <c r="I285" s="103" t="s">
        <v>15</v>
      </c>
      <c r="J285" s="11" t="s">
        <v>52</v>
      </c>
      <c r="K285" s="100">
        <f>SUM(K280:K284)</f>
        <v>28.99</v>
      </c>
    </row>
    <row r="286" spans="1:16" x14ac:dyDescent="0.2">
      <c r="A286" s="53"/>
      <c r="B286" s="16"/>
      <c r="C286" s="8"/>
      <c r="D286" s="89"/>
      <c r="E286" s="90"/>
      <c r="F286" s="90"/>
      <c r="G286" s="90"/>
      <c r="H286" s="90"/>
      <c r="I286" s="90"/>
      <c r="J286" s="91"/>
      <c r="K286" s="7"/>
    </row>
    <row r="287" spans="1:16" ht="27" customHeight="1" x14ac:dyDescent="0.2">
      <c r="A287" s="83" t="str">
        <f>Planilha!A88</f>
        <v>8.2</v>
      </c>
      <c r="B287" s="83" t="str">
        <f>Planilha!B88</f>
        <v>SINAPI</v>
      </c>
      <c r="C287" s="83">
        <f>Planilha!C88</f>
        <v>102713</v>
      </c>
      <c r="D287" s="331" t="str">
        <f>Planilha!D88</f>
        <v>GEOTÊXTIL NÃO TECIDO 100% POLIÉSTER, RESISTÊNCIA A TRAÇÃO DE 14 KN/M (RT - 14), INSTALADO EM DRENO - FORNECIMENTO E INSTALAÇÃO. AF_07/2021</v>
      </c>
      <c r="E287" s="331"/>
      <c r="F287" s="331"/>
      <c r="G287" s="331"/>
      <c r="H287" s="331"/>
      <c r="I287" s="331"/>
      <c r="J287" s="331"/>
      <c r="K287" s="7" t="str">
        <f>Planilha!E90</f>
        <v>M</v>
      </c>
      <c r="M287">
        <f>145*38</f>
        <v>5510</v>
      </c>
    </row>
    <row r="288" spans="1:16" x14ac:dyDescent="0.2">
      <c r="A288" s="83"/>
      <c r="B288" s="83"/>
      <c r="C288" s="83"/>
      <c r="D288" s="11"/>
      <c r="E288" s="11" t="s">
        <v>88</v>
      </c>
      <c r="F288" s="11"/>
      <c r="G288" s="11" t="s">
        <v>85</v>
      </c>
      <c r="H288" s="11"/>
      <c r="I288" s="11" t="s">
        <v>415</v>
      </c>
      <c r="J288" s="11"/>
      <c r="K288" s="7"/>
      <c r="M288">
        <f>145*41.9</f>
        <v>6075.5</v>
      </c>
      <c r="N288">
        <v>430.8</v>
      </c>
      <c r="O288">
        <f>M288+N288</f>
        <v>6506.3</v>
      </c>
      <c r="P288">
        <f>O288/145</f>
        <v>44.871034482758603</v>
      </c>
    </row>
    <row r="289" spans="1:16" x14ac:dyDescent="0.2">
      <c r="A289" s="83"/>
      <c r="B289" s="11" t="s">
        <v>412</v>
      </c>
      <c r="C289" s="83"/>
      <c r="D289" s="11"/>
      <c r="E289" s="223">
        <v>2.81</v>
      </c>
      <c r="F289" s="11" t="s">
        <v>82</v>
      </c>
      <c r="G289" s="11">
        <v>13.7</v>
      </c>
      <c r="H289" s="11"/>
      <c r="I289" s="11"/>
      <c r="J289" s="11" t="s">
        <v>52</v>
      </c>
      <c r="K289" s="7">
        <f>ROUND(E289*G289,2)</f>
        <v>38.5</v>
      </c>
      <c r="O289">
        <v>5976</v>
      </c>
      <c r="P289">
        <f>O289/145</f>
        <v>41.213793103448303</v>
      </c>
    </row>
    <row r="290" spans="1:16" x14ac:dyDescent="0.2">
      <c r="A290" s="83"/>
      <c r="B290" s="11" t="s">
        <v>413</v>
      </c>
      <c r="C290" s="83"/>
      <c r="D290" s="11"/>
      <c r="E290" s="223">
        <v>2.81</v>
      </c>
      <c r="F290" s="11" t="s">
        <v>82</v>
      </c>
      <c r="G290" s="11">
        <v>9.1</v>
      </c>
      <c r="H290" s="11"/>
      <c r="I290" s="11"/>
      <c r="J290" s="11" t="s">
        <v>52</v>
      </c>
      <c r="K290" s="7">
        <f>ROUND(E290*G290,2)</f>
        <v>25.57</v>
      </c>
    </row>
    <row r="291" spans="1:16" x14ac:dyDescent="0.2">
      <c r="A291" s="83"/>
      <c r="B291" s="11" t="s">
        <v>414</v>
      </c>
      <c r="C291" s="83"/>
      <c r="D291" s="11"/>
      <c r="E291" s="223">
        <v>2.81</v>
      </c>
      <c r="F291" s="11" t="s">
        <v>82</v>
      </c>
      <c r="G291" s="11">
        <v>8.25</v>
      </c>
      <c r="H291" s="11"/>
      <c r="I291" s="11"/>
      <c r="J291" s="11" t="s">
        <v>52</v>
      </c>
      <c r="K291" s="7">
        <f>ROUND(E291*G291,2)</f>
        <v>23.18</v>
      </c>
    </row>
    <row r="292" spans="1:16" x14ac:dyDescent="0.2">
      <c r="A292" s="83"/>
      <c r="B292" s="11" t="s">
        <v>416</v>
      </c>
      <c r="C292" s="83"/>
      <c r="D292" s="11"/>
      <c r="E292" s="11">
        <v>2.85</v>
      </c>
      <c r="F292" s="11" t="s">
        <v>82</v>
      </c>
      <c r="G292" s="11">
        <v>2.85</v>
      </c>
      <c r="H292" s="11" t="s">
        <v>82</v>
      </c>
      <c r="I292" s="11">
        <v>4</v>
      </c>
      <c r="J292" s="11" t="s">
        <v>52</v>
      </c>
      <c r="K292" s="7">
        <f>ROUND(E292*G292*I292,2)</f>
        <v>32.49</v>
      </c>
    </row>
    <row r="293" spans="1:16" ht="13.5" x14ac:dyDescent="0.25">
      <c r="A293" s="53"/>
      <c r="B293" s="16"/>
      <c r="C293" s="8"/>
      <c r="D293" s="121"/>
      <c r="E293" s="103"/>
      <c r="F293" s="103"/>
      <c r="G293" s="103"/>
      <c r="H293" s="103"/>
      <c r="I293" s="103" t="s">
        <v>15</v>
      </c>
      <c r="J293" s="11" t="s">
        <v>52</v>
      </c>
      <c r="K293" s="100">
        <f>SUM(K289:K292)</f>
        <v>119.74</v>
      </c>
    </row>
    <row r="294" spans="1:16" ht="13.5" x14ac:dyDescent="0.25">
      <c r="A294" s="53"/>
      <c r="B294" s="16"/>
      <c r="C294" s="8"/>
      <c r="D294" s="121"/>
      <c r="E294" s="103"/>
      <c r="F294" s="103"/>
      <c r="G294" s="103"/>
      <c r="H294" s="103"/>
      <c r="I294" s="103"/>
      <c r="J294" s="11"/>
      <c r="K294" s="7"/>
    </row>
    <row r="295" spans="1:16" ht="28.5" customHeight="1" x14ac:dyDescent="0.2">
      <c r="A295" s="83" t="str">
        <f>Planilha!A89</f>
        <v>8.3</v>
      </c>
      <c r="B295" s="83" t="str">
        <f>Planilha!B89</f>
        <v>SICOR-MG</v>
      </c>
      <c r="C295" s="83" t="str">
        <f>Planilha!C89</f>
        <v>ED-49541</v>
      </c>
      <c r="D295" s="331" t="str">
        <f>Planilha!D89</f>
        <v>ENROCAMENTO MANUAL COM PEDRA DE MÃO ARRUMADA, INCLUSIVE FORNECIMENTO, EXCLUSIVE REJUNTAMENTO COM ARGAMASS</v>
      </c>
      <c r="E295" s="331"/>
      <c r="F295" s="331"/>
      <c r="G295" s="331"/>
      <c r="H295" s="331"/>
      <c r="I295" s="331"/>
      <c r="J295" s="331"/>
      <c r="K295" s="7" t="str">
        <f>Planilha!E89</f>
        <v>M3</v>
      </c>
    </row>
    <row r="296" spans="1:16" x14ac:dyDescent="0.2">
      <c r="A296" s="83"/>
      <c r="B296" s="83"/>
      <c r="C296" s="83"/>
      <c r="D296" s="11"/>
      <c r="E296" s="11" t="s">
        <v>108</v>
      </c>
      <c r="F296" s="11"/>
      <c r="G296" s="11" t="s">
        <v>85</v>
      </c>
      <c r="H296" s="11"/>
      <c r="I296" s="11" t="s">
        <v>415</v>
      </c>
      <c r="J296" s="11"/>
      <c r="K296" s="7"/>
    </row>
    <row r="297" spans="1:16" x14ac:dyDescent="0.2">
      <c r="A297" s="83"/>
      <c r="B297" s="11" t="s">
        <v>412</v>
      </c>
      <c r="C297" s="83"/>
      <c r="D297" s="11"/>
      <c r="E297" s="223">
        <v>0.57299999999999995</v>
      </c>
      <c r="F297" s="11" t="s">
        <v>82</v>
      </c>
      <c r="G297" s="11">
        <v>13.7</v>
      </c>
      <c r="H297" s="11"/>
      <c r="I297" s="11"/>
      <c r="J297" s="11" t="s">
        <v>52</v>
      </c>
      <c r="K297" s="7">
        <f>ROUND(E297*G297,2)</f>
        <v>7.85</v>
      </c>
    </row>
    <row r="298" spans="1:16" x14ac:dyDescent="0.2">
      <c r="A298" s="83"/>
      <c r="B298" s="11" t="s">
        <v>413</v>
      </c>
      <c r="C298" s="83"/>
      <c r="D298" s="11"/>
      <c r="E298" s="223">
        <v>0.57299999999999995</v>
      </c>
      <c r="F298" s="11" t="s">
        <v>82</v>
      </c>
      <c r="G298" s="11">
        <v>9.1</v>
      </c>
      <c r="H298" s="11"/>
      <c r="I298" s="11"/>
      <c r="J298" s="11" t="s">
        <v>52</v>
      </c>
      <c r="K298" s="7">
        <f>ROUND(E298*G298,2)</f>
        <v>5.21</v>
      </c>
    </row>
    <row r="299" spans="1:16" x14ac:dyDescent="0.2">
      <c r="A299" s="83"/>
      <c r="B299" s="11" t="s">
        <v>414</v>
      </c>
      <c r="C299" s="83"/>
      <c r="D299" s="11"/>
      <c r="E299" s="223">
        <v>0.57299999999999995</v>
      </c>
      <c r="F299" s="11" t="s">
        <v>82</v>
      </c>
      <c r="G299" s="11">
        <v>8.25</v>
      </c>
      <c r="H299" s="11"/>
      <c r="I299" s="11"/>
      <c r="J299" s="11" t="s">
        <v>52</v>
      </c>
      <c r="K299" s="7">
        <f>ROUND(E299*G299,2)</f>
        <v>4.7300000000000004</v>
      </c>
    </row>
    <row r="300" spans="1:16" x14ac:dyDescent="0.2">
      <c r="A300" s="83"/>
      <c r="B300" s="224" t="s">
        <v>416</v>
      </c>
      <c r="C300" s="83"/>
      <c r="D300" s="11"/>
      <c r="E300" s="11">
        <f>2*2</f>
        <v>4</v>
      </c>
      <c r="F300" s="11" t="s">
        <v>82</v>
      </c>
      <c r="G300" s="11">
        <v>0.7</v>
      </c>
      <c r="H300" s="11" t="s">
        <v>82</v>
      </c>
      <c r="I300" s="11">
        <v>4</v>
      </c>
      <c r="J300" s="11" t="s">
        <v>52</v>
      </c>
      <c r="K300" s="7">
        <f>ROUND(E300*G300*I300,2)</f>
        <v>11.2</v>
      </c>
    </row>
    <row r="301" spans="1:16" ht="13.5" x14ac:dyDescent="0.25">
      <c r="A301" s="53"/>
      <c r="B301" s="16"/>
      <c r="C301" s="8"/>
      <c r="D301" s="121"/>
      <c r="E301" s="103"/>
      <c r="F301" s="103"/>
      <c r="G301" s="103"/>
      <c r="H301" s="103"/>
      <c r="I301" s="103" t="s">
        <v>15</v>
      </c>
      <c r="J301" s="11" t="s">
        <v>52</v>
      </c>
      <c r="K301" s="100">
        <f>SUM(K296:K300)</f>
        <v>28.99</v>
      </c>
    </row>
    <row r="302" spans="1:16" ht="13.5" x14ac:dyDescent="0.25">
      <c r="A302" s="53"/>
      <c r="B302" s="16"/>
      <c r="C302" s="8"/>
      <c r="D302" s="121"/>
      <c r="E302" s="11"/>
      <c r="F302" s="11"/>
      <c r="G302" s="11"/>
      <c r="H302" s="11"/>
      <c r="I302" s="103"/>
      <c r="J302" s="11"/>
      <c r="K302" s="7"/>
    </row>
    <row r="303" spans="1:16" ht="30" customHeight="1" x14ac:dyDescent="0.2">
      <c r="A303" s="83" t="str">
        <f>Planilha!A90</f>
        <v>8.4</v>
      </c>
      <c r="B303" s="83" t="str">
        <f>Planilha!B90</f>
        <v>SINAPI</v>
      </c>
      <c r="C303" s="83">
        <f>Planilha!C90</f>
        <v>102666</v>
      </c>
      <c r="D303" s="331" t="str">
        <f>Planilha!D90</f>
        <v>DRENO SUBSUPERFICIAL (SEÇÃO 0,40 X 0,40 M), COM TUBO DE PEAD CORRUGADO PERFURADO, DN 100 MM, ENCHIMENTO COM BRITA, ENVOLVIDO COM MANTA GEOTÊXTIL. AF_07/2021</v>
      </c>
      <c r="E303" s="331"/>
      <c r="F303" s="331"/>
      <c r="G303" s="331"/>
      <c r="H303" s="331"/>
      <c r="I303" s="331"/>
      <c r="J303" s="331"/>
      <c r="K303" s="7" t="str">
        <f>Planilha!E90</f>
        <v>M</v>
      </c>
    </row>
    <row r="304" spans="1:16" x14ac:dyDescent="0.2">
      <c r="A304" s="83"/>
      <c r="B304" s="83"/>
      <c r="C304" s="83"/>
      <c r="D304" s="11" t="s">
        <v>419</v>
      </c>
      <c r="E304" s="11"/>
      <c r="F304" s="11"/>
      <c r="G304" s="11"/>
      <c r="H304" s="11"/>
      <c r="I304" s="11"/>
      <c r="J304" s="11"/>
      <c r="K304" s="7">
        <v>0.9</v>
      </c>
    </row>
    <row r="305" spans="1:11" x14ac:dyDescent="0.2">
      <c r="A305" s="83"/>
      <c r="B305" s="83"/>
      <c r="C305" s="83"/>
      <c r="D305" s="11" t="s">
        <v>420</v>
      </c>
      <c r="E305" s="11"/>
      <c r="F305" s="11"/>
      <c r="G305" s="11"/>
      <c r="H305" s="11"/>
      <c r="I305" s="11"/>
      <c r="J305" s="11"/>
      <c r="K305" s="7">
        <v>12.95</v>
      </c>
    </row>
    <row r="306" spans="1:11" ht="13.5" x14ac:dyDescent="0.25">
      <c r="A306" s="53"/>
      <c r="B306" s="16"/>
      <c r="C306" s="8"/>
      <c r="D306" s="121"/>
      <c r="E306" s="103"/>
      <c r="F306" s="103"/>
      <c r="G306" s="103"/>
      <c r="H306" s="103"/>
      <c r="I306" s="103" t="s">
        <v>15</v>
      </c>
      <c r="J306" s="11" t="s">
        <v>52</v>
      </c>
      <c r="K306" s="100">
        <f>SUM(K304:K305)</f>
        <v>13.85</v>
      </c>
    </row>
    <row r="307" spans="1:11" ht="13.5" x14ac:dyDescent="0.25">
      <c r="A307" s="53"/>
      <c r="B307" s="16"/>
      <c r="C307" s="8"/>
      <c r="D307" s="121"/>
      <c r="E307" s="11"/>
      <c r="F307" s="11"/>
      <c r="G307" s="11"/>
      <c r="H307" s="11"/>
      <c r="I307" s="103"/>
      <c r="J307" s="11"/>
      <c r="K307" s="7"/>
    </row>
    <row r="308" spans="1:11" ht="45.75" customHeight="1" x14ac:dyDescent="0.2">
      <c r="A308" s="83" t="str">
        <f>Planilha!A91</f>
        <v>8.5</v>
      </c>
      <c r="B308" s="83" t="str">
        <f>Planilha!B91</f>
        <v>SICOR-MG</v>
      </c>
      <c r="C308" s="83" t="str">
        <f>Planilha!C91</f>
        <v>ED-49909</v>
      </c>
      <c r="D308" s="331" t="str">
        <f>Planilha!D91</f>
        <v>CAIXA DE DRENAGEM DE INSPEÇÃO/PASSAGEM EM ALVENARIA (40X40X60CM), REVESTIMENTO EM ARGAMASSA COM ADITIVO IMPERMEABILIZANTE, COM TAMPA EM GRELHA, INCLUSIVE ESCAVAÇÃO, REATERRO E TRANSPORTE E RETIRADA DO MATERIAL ESCAVADO (EM CAÇAMBA)</v>
      </c>
      <c r="E308" s="331"/>
      <c r="F308" s="331"/>
      <c r="G308" s="331"/>
      <c r="H308" s="331"/>
      <c r="I308" s="331"/>
      <c r="J308" s="331"/>
      <c r="K308" s="7" t="str">
        <f>Planilha!E91</f>
        <v>UN.</v>
      </c>
    </row>
    <row r="309" spans="1:11" ht="13.5" x14ac:dyDescent="0.25">
      <c r="A309" s="53"/>
      <c r="B309" s="16"/>
      <c r="C309" s="8"/>
      <c r="D309" s="121"/>
      <c r="E309" s="103"/>
      <c r="F309" s="103"/>
      <c r="G309" s="103"/>
      <c r="H309" s="103"/>
      <c r="I309" s="103" t="s">
        <v>15</v>
      </c>
      <c r="J309" s="11" t="s">
        <v>52</v>
      </c>
      <c r="K309" s="100">
        <v>2</v>
      </c>
    </row>
    <row r="310" spans="1:11" ht="13.5" x14ac:dyDescent="0.25">
      <c r="A310" s="53"/>
      <c r="B310" s="16"/>
      <c r="C310" s="8"/>
      <c r="D310" s="121"/>
      <c r="E310" s="11"/>
      <c r="F310" s="11"/>
      <c r="G310" s="11"/>
      <c r="H310" s="11"/>
      <c r="I310" s="103"/>
      <c r="J310" s="11"/>
      <c r="K310" s="7"/>
    </row>
    <row r="311" spans="1:11" ht="64.5" customHeight="1" x14ac:dyDescent="0.2">
      <c r="A311" s="83" t="str">
        <f>Planilha!A92</f>
        <v>8.6</v>
      </c>
      <c r="B311" s="83" t="str">
        <f>Planilha!B92</f>
        <v>SICOR-MG</v>
      </c>
      <c r="C311" s="83" t="str">
        <f>Planilha!C92</f>
        <v>ED-14746</v>
      </c>
      <c r="D311" s="332" t="str">
        <f>Planilha!D92</f>
        <v>CANALETA PARA DRENAGEM, EM CONCRETO COM FCK 15MPA, MOLDADA IN LOCO, SEÇÃO 30X20CM, FORMA EM MADEIRA, COM GRELHA EM BARRA REDONDA DN 12,5MM (1/2") E REQUADRO EM BARRA REDONDA DN 20MM (3/4") COM UMA (1) DEMÃO DE FUNDO ANTICORROSIVO E DUAS (2) DEMÃOS DE PINTURA ESMALTE, INCLUSIVE ESCAVAÇÃO, REATERRO COM TRANSPORTE E RETIRADA DO MATERIAL ESCAVADO (EM CAÇAMBA)</v>
      </c>
      <c r="E311" s="332"/>
      <c r="F311" s="332"/>
      <c r="G311" s="332"/>
      <c r="H311" s="332"/>
      <c r="I311" s="332"/>
      <c r="J311" s="332"/>
      <c r="K311" s="7" t="str">
        <f>Planilha!E92</f>
        <v>M</v>
      </c>
    </row>
    <row r="312" spans="1:11" x14ac:dyDescent="0.2">
      <c r="A312" s="83"/>
      <c r="B312" s="83"/>
      <c r="C312" s="83"/>
      <c r="D312" s="101" t="s">
        <v>417</v>
      </c>
      <c r="E312" s="101"/>
      <c r="F312" s="101"/>
      <c r="G312" s="101"/>
      <c r="H312" s="101"/>
      <c r="I312" s="101"/>
      <c r="J312" s="101"/>
      <c r="K312" s="7">
        <v>1.65</v>
      </c>
    </row>
    <row r="313" spans="1:11" x14ac:dyDescent="0.2">
      <c r="A313" s="83"/>
      <c r="B313" s="83"/>
      <c r="C313" s="83"/>
      <c r="D313" s="101" t="s">
        <v>418</v>
      </c>
      <c r="E313" s="101"/>
      <c r="F313" s="101"/>
      <c r="G313" s="101"/>
      <c r="H313" s="101"/>
      <c r="I313" s="101"/>
      <c r="J313" s="101"/>
      <c r="K313" s="7">
        <v>2.2000000000000002</v>
      </c>
    </row>
    <row r="314" spans="1:11" ht="13.5" x14ac:dyDescent="0.25">
      <c r="A314" s="53"/>
      <c r="B314" s="16"/>
      <c r="C314" s="8"/>
      <c r="D314" s="121"/>
      <c r="E314" s="103"/>
      <c r="F314" s="103"/>
      <c r="G314" s="103"/>
      <c r="H314" s="103"/>
      <c r="I314" s="103" t="s">
        <v>15</v>
      </c>
      <c r="J314" s="11" t="s">
        <v>52</v>
      </c>
      <c r="K314" s="100">
        <f>SUM(K312:K313)</f>
        <v>3.85</v>
      </c>
    </row>
    <row r="315" spans="1:11" ht="13.5" x14ac:dyDescent="0.25">
      <c r="A315" s="53"/>
      <c r="B315" s="16"/>
      <c r="C315" s="8"/>
      <c r="D315" s="121"/>
      <c r="E315" s="11"/>
      <c r="F315" s="11"/>
      <c r="G315" s="11"/>
      <c r="H315" s="11"/>
      <c r="I315" s="103"/>
      <c r="J315" s="11"/>
      <c r="K315" s="7"/>
    </row>
    <row r="316" spans="1:11" ht="21.75" customHeight="1" x14ac:dyDescent="0.2">
      <c r="A316" s="110"/>
      <c r="B316" s="111"/>
      <c r="C316" s="112"/>
      <c r="D316" s="113"/>
      <c r="E316" s="113"/>
      <c r="F316" s="113"/>
      <c r="G316" s="113"/>
      <c r="H316" s="113"/>
      <c r="I316" s="113"/>
      <c r="J316" s="113"/>
      <c r="K316" s="18"/>
    </row>
    <row r="317" spans="1:11" ht="13.5" x14ac:dyDescent="0.2">
      <c r="A317" s="18"/>
      <c r="B317" s="18"/>
      <c r="C317" s="355"/>
      <c r="D317" s="355"/>
      <c r="E317" s="355"/>
      <c r="F317" s="355"/>
      <c r="G317" s="62"/>
      <c r="H317" s="356" t="s">
        <v>436</v>
      </c>
      <c r="I317" s="357"/>
      <c r="J317" s="18"/>
      <c r="K317" s="18"/>
    </row>
    <row r="318" spans="1:11" ht="13.5" x14ac:dyDescent="0.2">
      <c r="A318" s="18"/>
      <c r="B318" s="18"/>
      <c r="C318" s="354" t="s">
        <v>435</v>
      </c>
      <c r="D318" s="354"/>
      <c r="E318" s="354"/>
      <c r="F318" s="354"/>
      <c r="G318" s="62"/>
      <c r="H318" s="354" t="s">
        <v>89</v>
      </c>
      <c r="I318" s="354"/>
      <c r="J318" s="18"/>
      <c r="K318" s="18"/>
    </row>
    <row r="319" spans="1:11" ht="5.25" customHeight="1" x14ac:dyDescent="0.2">
      <c r="A319" s="18"/>
      <c r="B319" s="18"/>
      <c r="C319" s="18"/>
      <c r="D319" s="18"/>
      <c r="E319" s="18"/>
      <c r="F319" s="18"/>
      <c r="G319" s="18"/>
      <c r="H319" s="18"/>
      <c r="I319" s="18"/>
      <c r="J319" s="18"/>
      <c r="K319" s="18"/>
    </row>
    <row r="320" spans="1:11" x14ac:dyDescent="0.2">
      <c r="A320" s="18"/>
      <c r="B320" s="18"/>
      <c r="C320" s="18"/>
      <c r="D320" s="18"/>
      <c r="E320" s="18"/>
      <c r="F320" s="18"/>
      <c r="G320" s="18"/>
      <c r="H320" s="18"/>
      <c r="I320" s="18"/>
      <c r="J320" s="18"/>
      <c r="K320" s="18"/>
    </row>
    <row r="321" spans="1:11" x14ac:dyDescent="0.2">
      <c r="A321" s="18"/>
      <c r="B321" s="18"/>
      <c r="C321" s="18"/>
      <c r="D321" s="18"/>
      <c r="E321" s="18"/>
      <c r="F321" s="18"/>
      <c r="G321" s="18"/>
      <c r="H321" s="18"/>
      <c r="I321" s="18"/>
      <c r="J321" s="18"/>
      <c r="K321" s="18"/>
    </row>
    <row r="322" spans="1:11" x14ac:dyDescent="0.2">
      <c r="A322" s="18"/>
      <c r="B322" s="18"/>
      <c r="C322" s="18"/>
      <c r="D322" s="18"/>
      <c r="E322" s="18"/>
      <c r="F322" s="18"/>
      <c r="G322" s="18"/>
      <c r="H322" s="18"/>
      <c r="I322" s="18"/>
      <c r="J322" s="18"/>
      <c r="K322" s="18"/>
    </row>
    <row r="323" spans="1:11" x14ac:dyDescent="0.2">
      <c r="A323" s="18"/>
      <c r="B323" s="18"/>
      <c r="C323" s="18"/>
      <c r="D323" s="18"/>
      <c r="E323" s="18"/>
      <c r="F323" s="18"/>
      <c r="G323" s="18"/>
      <c r="H323" s="18"/>
      <c r="I323" s="18"/>
      <c r="J323" s="18"/>
      <c r="K323" s="18"/>
    </row>
    <row r="324" spans="1:11" x14ac:dyDescent="0.2">
      <c r="A324" s="18"/>
      <c r="B324" s="18"/>
      <c r="C324" s="18"/>
      <c r="D324" s="18"/>
      <c r="E324" s="18"/>
      <c r="F324" s="18"/>
      <c r="G324" s="18"/>
      <c r="H324" s="18"/>
      <c r="I324" s="18"/>
      <c r="J324" s="18"/>
      <c r="K324" s="18"/>
    </row>
    <row r="325" spans="1:11" x14ac:dyDescent="0.2">
      <c r="A325" s="18"/>
      <c r="B325" s="18"/>
      <c r="C325" s="18"/>
      <c r="D325" s="18"/>
      <c r="E325" s="18"/>
      <c r="F325" s="18"/>
      <c r="G325" s="18"/>
      <c r="H325" s="18"/>
      <c r="I325" s="18"/>
      <c r="J325" s="18"/>
      <c r="K325" s="18"/>
    </row>
    <row r="326" spans="1:11" x14ac:dyDescent="0.2">
      <c r="A326" s="18"/>
      <c r="B326" s="18"/>
      <c r="C326" s="18"/>
      <c r="D326" s="18"/>
      <c r="E326" s="18"/>
      <c r="F326" s="18"/>
      <c r="G326" s="18"/>
      <c r="H326" s="18"/>
      <c r="I326" s="18"/>
      <c r="J326" s="18"/>
      <c r="K326" s="18"/>
    </row>
    <row r="327" spans="1:11" x14ac:dyDescent="0.2">
      <c r="A327" s="18"/>
      <c r="B327" s="18"/>
      <c r="C327" s="18"/>
      <c r="D327" s="18"/>
      <c r="E327" s="18"/>
      <c r="F327" s="18"/>
      <c r="G327" s="18"/>
      <c r="H327" s="18"/>
      <c r="I327" s="18"/>
      <c r="J327" s="18"/>
      <c r="K327" s="18"/>
    </row>
    <row r="328" spans="1:11" x14ac:dyDescent="0.2">
      <c r="A328" s="18"/>
      <c r="B328" s="18"/>
      <c r="C328" s="18"/>
      <c r="D328" s="18"/>
      <c r="E328" s="18"/>
      <c r="F328" s="18"/>
      <c r="G328" s="18"/>
      <c r="H328" s="18"/>
      <c r="I328" s="18"/>
      <c r="J328" s="18"/>
      <c r="K328" s="18"/>
    </row>
    <row r="329" spans="1:11" x14ac:dyDescent="0.2">
      <c r="A329" s="18"/>
      <c r="B329" s="18"/>
      <c r="C329" s="18"/>
      <c r="D329" s="18"/>
      <c r="E329" s="18"/>
      <c r="F329" s="18"/>
      <c r="G329" s="18"/>
      <c r="H329" s="18"/>
      <c r="I329" s="18"/>
      <c r="J329" s="18"/>
      <c r="K329" s="18"/>
    </row>
    <row r="330" spans="1:11" x14ac:dyDescent="0.2">
      <c r="A330" s="18"/>
      <c r="B330" s="18"/>
      <c r="C330" s="18"/>
      <c r="D330" s="18"/>
      <c r="E330" s="18"/>
      <c r="F330" s="18"/>
      <c r="G330" s="18"/>
      <c r="H330" s="18"/>
      <c r="I330" s="18"/>
      <c r="J330" s="18"/>
      <c r="K330" s="18"/>
    </row>
    <row r="331" spans="1:11" x14ac:dyDescent="0.2">
      <c r="A331" s="18"/>
      <c r="B331" s="18"/>
      <c r="C331" s="18"/>
      <c r="D331" s="18"/>
      <c r="E331" s="18"/>
      <c r="F331" s="18"/>
      <c r="G331" s="18"/>
      <c r="H331" s="18"/>
      <c r="I331" s="18"/>
      <c r="J331" s="18"/>
      <c r="K331" s="18"/>
    </row>
    <row r="332" spans="1:11" x14ac:dyDescent="0.2">
      <c r="A332" s="18"/>
      <c r="B332" s="18"/>
      <c r="C332" s="18"/>
      <c r="D332" s="18"/>
      <c r="E332" s="18"/>
      <c r="F332" s="18"/>
      <c r="G332" s="18"/>
      <c r="H332" s="18"/>
      <c r="I332" s="18"/>
      <c r="J332" s="18"/>
      <c r="K332" s="18"/>
    </row>
    <row r="333" spans="1:11" x14ac:dyDescent="0.2">
      <c r="A333" s="18"/>
      <c r="B333" s="18"/>
      <c r="C333" s="18"/>
      <c r="D333" s="18"/>
      <c r="E333" s="18"/>
      <c r="F333" s="18"/>
      <c r="G333" s="18"/>
      <c r="H333" s="18"/>
      <c r="I333" s="18"/>
      <c r="J333" s="18"/>
      <c r="K333" s="18"/>
    </row>
    <row r="334" spans="1:11" x14ac:dyDescent="0.2">
      <c r="A334" s="18"/>
      <c r="B334" s="18"/>
      <c r="C334" s="18"/>
      <c r="D334" s="18"/>
      <c r="E334" s="18"/>
      <c r="F334" s="18"/>
      <c r="G334" s="18"/>
      <c r="H334" s="18"/>
      <c r="I334" s="18"/>
      <c r="J334" s="18"/>
      <c r="K334" s="18"/>
    </row>
    <row r="335" spans="1:11" x14ac:dyDescent="0.2">
      <c r="A335" s="18"/>
      <c r="B335" s="18"/>
      <c r="C335" s="18"/>
      <c r="D335" s="18"/>
      <c r="E335" s="18"/>
      <c r="F335" s="18"/>
      <c r="G335" s="18"/>
      <c r="H335" s="18"/>
      <c r="I335" s="18"/>
      <c r="J335" s="18"/>
      <c r="K335" s="18"/>
    </row>
    <row r="336" spans="1:11" x14ac:dyDescent="0.2">
      <c r="A336" s="18"/>
      <c r="B336" s="18"/>
      <c r="C336" s="18"/>
      <c r="D336" s="18"/>
      <c r="E336" s="18"/>
      <c r="F336" s="18"/>
      <c r="G336" s="18"/>
      <c r="H336" s="18"/>
      <c r="I336" s="18"/>
      <c r="J336" s="18"/>
      <c r="K336" s="18"/>
    </row>
    <row r="337" spans="1:11" x14ac:dyDescent="0.2">
      <c r="A337" s="18"/>
      <c r="B337" s="18"/>
      <c r="C337" s="18"/>
      <c r="D337" s="18"/>
      <c r="E337" s="18"/>
      <c r="F337" s="18"/>
      <c r="G337" s="18"/>
      <c r="H337" s="18"/>
      <c r="I337" s="18"/>
      <c r="J337" s="18"/>
      <c r="K337" s="18"/>
    </row>
    <row r="338" spans="1:11" x14ac:dyDescent="0.2">
      <c r="A338" s="18"/>
      <c r="B338" s="18"/>
      <c r="C338" s="18"/>
      <c r="D338" s="18"/>
      <c r="E338" s="18"/>
      <c r="F338" s="18"/>
      <c r="G338" s="18"/>
      <c r="H338" s="18"/>
      <c r="I338" s="18"/>
      <c r="J338" s="18"/>
      <c r="K338" s="18"/>
    </row>
    <row r="339" spans="1:11" x14ac:dyDescent="0.2">
      <c r="A339" s="18"/>
      <c r="B339" s="18"/>
      <c r="C339" s="18"/>
      <c r="D339" s="18"/>
      <c r="E339" s="18"/>
      <c r="F339" s="18"/>
      <c r="G339" s="18"/>
      <c r="H339" s="18"/>
      <c r="I339" s="18"/>
      <c r="J339" s="18"/>
      <c r="K339" s="18"/>
    </row>
    <row r="340" spans="1:11" x14ac:dyDescent="0.2">
      <c r="A340" s="18"/>
      <c r="B340" s="18"/>
      <c r="C340" s="18"/>
      <c r="D340" s="18"/>
      <c r="E340" s="18"/>
      <c r="F340" s="18"/>
      <c r="G340" s="18"/>
      <c r="H340" s="18"/>
      <c r="I340" s="18"/>
      <c r="J340" s="18"/>
      <c r="K340" s="18"/>
    </row>
    <row r="341" spans="1:11" x14ac:dyDescent="0.2">
      <c r="A341" s="18"/>
      <c r="B341" s="18"/>
      <c r="C341" s="18"/>
      <c r="D341" s="18"/>
      <c r="E341" s="18"/>
      <c r="F341" s="18"/>
      <c r="G341" s="18"/>
      <c r="H341" s="18"/>
      <c r="I341" s="18"/>
      <c r="J341" s="18"/>
      <c r="K341" s="18"/>
    </row>
    <row r="342" spans="1:11" x14ac:dyDescent="0.2">
      <c r="A342" s="18"/>
      <c r="B342" s="18"/>
      <c r="C342" s="18"/>
      <c r="D342" s="18"/>
      <c r="E342" s="18"/>
      <c r="F342" s="18"/>
      <c r="G342" s="18"/>
      <c r="H342" s="18"/>
      <c r="I342" s="18"/>
      <c r="J342" s="18"/>
      <c r="K342" s="18"/>
    </row>
    <row r="343" spans="1:11" x14ac:dyDescent="0.2">
      <c r="A343" s="18"/>
      <c r="B343" s="18"/>
      <c r="C343" s="18"/>
      <c r="D343" s="18"/>
      <c r="E343" s="18"/>
      <c r="F343" s="18"/>
      <c r="G343" s="18"/>
      <c r="H343" s="18"/>
      <c r="I343" s="18"/>
      <c r="J343" s="18"/>
      <c r="K343" s="18"/>
    </row>
    <row r="344" spans="1:11" x14ac:dyDescent="0.2">
      <c r="A344" s="18"/>
      <c r="B344" s="18"/>
      <c r="C344" s="18"/>
      <c r="D344" s="18"/>
      <c r="E344" s="18"/>
      <c r="F344" s="18"/>
      <c r="G344" s="18"/>
      <c r="H344" s="18"/>
      <c r="I344" s="18"/>
      <c r="J344" s="18"/>
      <c r="K344" s="18"/>
    </row>
    <row r="345" spans="1:11" x14ac:dyDescent="0.2">
      <c r="A345" s="18"/>
      <c r="B345" s="18"/>
      <c r="C345" s="18"/>
      <c r="D345" s="18"/>
      <c r="E345" s="18"/>
      <c r="F345" s="18"/>
      <c r="G345" s="18"/>
      <c r="H345" s="18"/>
      <c r="I345" s="18"/>
      <c r="J345" s="18"/>
      <c r="K345" s="18"/>
    </row>
    <row r="346" spans="1:11" x14ac:dyDescent="0.2">
      <c r="A346" s="18"/>
      <c r="B346" s="18"/>
      <c r="C346" s="18"/>
      <c r="D346" s="18"/>
      <c r="E346" s="18"/>
      <c r="F346" s="18"/>
      <c r="G346" s="18"/>
      <c r="H346" s="18"/>
      <c r="I346" s="18"/>
      <c r="J346" s="18"/>
      <c r="K346" s="18"/>
    </row>
    <row r="347" spans="1:11" x14ac:dyDescent="0.2">
      <c r="A347" s="18"/>
      <c r="B347" s="18"/>
      <c r="C347" s="18"/>
      <c r="D347" s="18"/>
      <c r="E347" s="18"/>
      <c r="F347" s="18"/>
      <c r="G347" s="18"/>
      <c r="H347" s="18"/>
      <c r="I347" s="18"/>
      <c r="J347" s="18"/>
      <c r="K347" s="18"/>
    </row>
    <row r="348" spans="1:11" x14ac:dyDescent="0.2">
      <c r="A348" s="18"/>
      <c r="B348" s="18"/>
      <c r="C348" s="18"/>
      <c r="D348" s="18"/>
      <c r="E348" s="18"/>
      <c r="F348" s="18"/>
      <c r="G348" s="18"/>
      <c r="H348" s="18"/>
      <c r="I348" s="18"/>
      <c r="J348" s="18"/>
      <c r="K348" s="18"/>
    </row>
    <row r="349" spans="1:11" x14ac:dyDescent="0.2">
      <c r="A349" s="18"/>
      <c r="B349" s="18"/>
      <c r="C349" s="18"/>
      <c r="D349" s="18"/>
      <c r="E349" s="18"/>
      <c r="F349" s="18"/>
      <c r="G349" s="18"/>
      <c r="H349" s="18"/>
      <c r="I349" s="18"/>
      <c r="J349" s="18"/>
      <c r="K349" s="18"/>
    </row>
    <row r="350" spans="1:11" x14ac:dyDescent="0.2">
      <c r="A350" s="18"/>
      <c r="B350" s="18"/>
      <c r="C350" s="18"/>
      <c r="D350" s="18"/>
      <c r="E350" s="18"/>
      <c r="F350" s="18"/>
      <c r="G350" s="18"/>
      <c r="H350" s="18"/>
      <c r="I350" s="18"/>
      <c r="J350" s="18"/>
      <c r="K350" s="18"/>
    </row>
    <row r="351" spans="1:11" x14ac:dyDescent="0.2">
      <c r="A351" s="18"/>
      <c r="B351" s="18"/>
      <c r="C351" s="18"/>
      <c r="D351" s="18"/>
      <c r="E351" s="18"/>
      <c r="F351" s="18"/>
      <c r="G351" s="18"/>
      <c r="H351" s="18"/>
      <c r="I351" s="18"/>
      <c r="J351" s="18"/>
      <c r="K351" s="18"/>
    </row>
    <row r="352" spans="1:11" x14ac:dyDescent="0.2">
      <c r="A352" s="18"/>
      <c r="B352" s="18"/>
      <c r="C352" s="18"/>
      <c r="D352" s="18"/>
      <c r="E352" s="18"/>
      <c r="F352" s="18"/>
      <c r="G352" s="18"/>
      <c r="H352" s="18"/>
      <c r="I352" s="18"/>
      <c r="J352" s="18"/>
      <c r="K352" s="18"/>
    </row>
    <row r="353" spans="1:11" x14ac:dyDescent="0.2">
      <c r="A353" s="18"/>
      <c r="B353" s="18"/>
      <c r="C353" s="18"/>
      <c r="D353" s="18"/>
      <c r="E353" s="18"/>
      <c r="F353" s="18"/>
      <c r="G353" s="18"/>
      <c r="H353" s="18"/>
      <c r="I353" s="18"/>
      <c r="J353" s="18"/>
      <c r="K353" s="18"/>
    </row>
    <row r="354" spans="1:11" x14ac:dyDescent="0.2">
      <c r="A354" s="18"/>
      <c r="B354" s="18"/>
      <c r="C354" s="18"/>
      <c r="D354" s="18"/>
      <c r="E354" s="18"/>
      <c r="F354" s="18"/>
      <c r="G354" s="18"/>
      <c r="H354" s="18"/>
      <c r="I354" s="18"/>
      <c r="J354" s="18"/>
      <c r="K354" s="18"/>
    </row>
    <row r="355" spans="1:11" x14ac:dyDescent="0.2">
      <c r="A355" s="18"/>
      <c r="B355" s="18"/>
      <c r="C355" s="18"/>
      <c r="D355" s="18"/>
      <c r="E355" s="18"/>
      <c r="F355" s="18"/>
      <c r="G355" s="18"/>
      <c r="H355" s="18"/>
      <c r="I355" s="18"/>
      <c r="J355" s="18"/>
      <c r="K355" s="18"/>
    </row>
    <row r="356" spans="1:11" x14ac:dyDescent="0.2">
      <c r="A356" s="18"/>
      <c r="B356" s="18"/>
      <c r="C356" s="18"/>
      <c r="D356" s="18"/>
      <c r="E356" s="18"/>
      <c r="F356" s="18"/>
      <c r="G356" s="18"/>
      <c r="H356" s="18"/>
      <c r="I356" s="18"/>
      <c r="J356" s="18"/>
      <c r="K356" s="18"/>
    </row>
    <row r="357" spans="1:11" x14ac:dyDescent="0.2">
      <c r="A357" s="18"/>
      <c r="B357" s="18"/>
      <c r="C357" s="18"/>
      <c r="D357" s="18"/>
      <c r="E357" s="18"/>
      <c r="F357" s="18"/>
      <c r="G357" s="18"/>
      <c r="H357" s="18"/>
      <c r="I357" s="18"/>
      <c r="J357" s="18"/>
      <c r="K357" s="18"/>
    </row>
    <row r="358" spans="1:11" x14ac:dyDescent="0.2">
      <c r="A358" s="18"/>
      <c r="B358" s="18"/>
      <c r="C358" s="18"/>
      <c r="D358" s="18"/>
      <c r="E358" s="18"/>
      <c r="F358" s="18"/>
      <c r="G358" s="18"/>
      <c r="H358" s="18"/>
      <c r="I358" s="18"/>
      <c r="J358" s="18"/>
      <c r="K358" s="18"/>
    </row>
    <row r="359" spans="1:11" x14ac:dyDescent="0.2">
      <c r="A359" s="18"/>
      <c r="B359" s="18"/>
      <c r="C359" s="18"/>
      <c r="D359" s="18"/>
      <c r="E359" s="18"/>
      <c r="F359" s="18"/>
      <c r="G359" s="18"/>
      <c r="H359" s="18"/>
      <c r="I359" s="18"/>
      <c r="J359" s="18"/>
      <c r="K359" s="18"/>
    </row>
    <row r="360" spans="1:11" x14ac:dyDescent="0.2">
      <c r="A360" s="18"/>
      <c r="B360" s="18"/>
      <c r="C360" s="18"/>
      <c r="D360" s="18"/>
      <c r="E360" s="18"/>
      <c r="F360" s="18"/>
      <c r="G360" s="18"/>
      <c r="H360" s="18"/>
      <c r="I360" s="18"/>
      <c r="J360" s="18"/>
      <c r="K360" s="18"/>
    </row>
    <row r="361" spans="1:11" x14ac:dyDescent="0.2">
      <c r="A361" s="18"/>
      <c r="B361" s="18"/>
      <c r="C361" s="18"/>
      <c r="D361" s="18"/>
      <c r="E361" s="18"/>
      <c r="F361" s="18"/>
      <c r="G361" s="18"/>
      <c r="H361" s="18"/>
      <c r="I361" s="18"/>
      <c r="J361" s="18"/>
      <c r="K361" s="18"/>
    </row>
    <row r="362" spans="1:11" x14ac:dyDescent="0.2">
      <c r="A362" s="18"/>
      <c r="B362" s="18"/>
      <c r="C362" s="18"/>
      <c r="D362" s="18"/>
      <c r="E362" s="18"/>
      <c r="F362" s="18"/>
      <c r="G362" s="18"/>
      <c r="H362" s="18"/>
      <c r="I362" s="18"/>
      <c r="J362" s="18"/>
      <c r="K362" s="18"/>
    </row>
    <row r="363" spans="1:11" x14ac:dyDescent="0.2">
      <c r="A363" s="18"/>
      <c r="B363" s="18"/>
      <c r="C363" s="18"/>
      <c r="D363" s="18"/>
      <c r="E363" s="18"/>
      <c r="F363" s="18"/>
      <c r="G363" s="18"/>
      <c r="H363" s="18"/>
      <c r="I363" s="18"/>
      <c r="J363" s="18"/>
      <c r="K363" s="18"/>
    </row>
    <row r="364" spans="1:11" x14ac:dyDescent="0.2">
      <c r="A364" s="18"/>
      <c r="B364" s="18"/>
      <c r="C364" s="18"/>
      <c r="D364" s="18"/>
      <c r="E364" s="18"/>
      <c r="F364" s="18"/>
      <c r="G364" s="18"/>
      <c r="H364" s="18"/>
      <c r="I364" s="18"/>
      <c r="J364" s="18"/>
      <c r="K364" s="18"/>
    </row>
    <row r="365" spans="1:11" x14ac:dyDescent="0.2">
      <c r="A365" s="18"/>
      <c r="B365" s="18"/>
      <c r="C365" s="18"/>
      <c r="D365" s="18"/>
      <c r="E365" s="18"/>
      <c r="F365" s="18"/>
      <c r="G365" s="18"/>
      <c r="H365" s="18"/>
      <c r="I365" s="18"/>
      <c r="J365" s="18"/>
      <c r="K365" s="18"/>
    </row>
    <row r="366" spans="1:11" x14ac:dyDescent="0.2">
      <c r="A366" s="18"/>
      <c r="B366" s="18"/>
      <c r="C366" s="18"/>
      <c r="D366" s="18"/>
      <c r="E366" s="18"/>
      <c r="F366" s="18"/>
      <c r="G366" s="18"/>
      <c r="H366" s="18"/>
      <c r="I366" s="18"/>
      <c r="J366" s="18"/>
      <c r="K366" s="18"/>
    </row>
    <row r="367" spans="1:11" x14ac:dyDescent="0.2">
      <c r="A367" s="18"/>
      <c r="B367" s="18"/>
      <c r="C367" s="18"/>
      <c r="D367" s="18"/>
      <c r="E367" s="18"/>
      <c r="F367" s="18"/>
      <c r="G367" s="18"/>
      <c r="H367" s="18"/>
      <c r="I367" s="18"/>
      <c r="J367" s="18"/>
      <c r="K367" s="18"/>
    </row>
  </sheetData>
  <mergeCells count="81">
    <mergeCell ref="D198:J198"/>
    <mergeCell ref="D90:J90"/>
    <mergeCell ref="D95:J95"/>
    <mergeCell ref="D100:J100"/>
    <mergeCell ref="D168:J168"/>
    <mergeCell ref="D167:J167"/>
    <mergeCell ref="D180:J180"/>
    <mergeCell ref="D186:J186"/>
    <mergeCell ref="D192:J192"/>
    <mergeCell ref="D174:J174"/>
    <mergeCell ref="D197:J197"/>
    <mergeCell ref="D166:J166"/>
    <mergeCell ref="D84:J84"/>
    <mergeCell ref="D59:J59"/>
    <mergeCell ref="D101:J101"/>
    <mergeCell ref="D121:J121"/>
    <mergeCell ref="D146:J146"/>
    <mergeCell ref="D156:J156"/>
    <mergeCell ref="D32:J32"/>
    <mergeCell ref="D35:J35"/>
    <mergeCell ref="D42:J42"/>
    <mergeCell ref="D130:J130"/>
    <mergeCell ref="D111:J111"/>
    <mergeCell ref="B10:C10"/>
    <mergeCell ref="A9:K9"/>
    <mergeCell ref="A12:K12"/>
    <mergeCell ref="D13:J13"/>
    <mergeCell ref="D15:J15"/>
    <mergeCell ref="D85:J85"/>
    <mergeCell ref="D68:J68"/>
    <mergeCell ref="H318:I318"/>
    <mergeCell ref="C317:F317"/>
    <mergeCell ref="C318:F318"/>
    <mergeCell ref="D245:J245"/>
    <mergeCell ref="H317:I317"/>
    <mergeCell ref="D252:J252"/>
    <mergeCell ref="D274:J274"/>
    <mergeCell ref="D246:J246"/>
    <mergeCell ref="D201:J201"/>
    <mergeCell ref="D171:J171"/>
    <mergeCell ref="A1:K1"/>
    <mergeCell ref="D10:J10"/>
    <mergeCell ref="A3:K3"/>
    <mergeCell ref="A2:K2"/>
    <mergeCell ref="A5:G5"/>
    <mergeCell ref="A8:K8"/>
    <mergeCell ref="A7:K7"/>
    <mergeCell ref="A4:K4"/>
    <mergeCell ref="H5:I5"/>
    <mergeCell ref="J5:K5"/>
    <mergeCell ref="A11:K11"/>
    <mergeCell ref="D162:J162"/>
    <mergeCell ref="D139:J139"/>
    <mergeCell ref="A6:K6"/>
    <mergeCell ref="D205:J205"/>
    <mergeCell ref="D225:J225"/>
    <mergeCell ref="D226:J226"/>
    <mergeCell ref="D236:J236"/>
    <mergeCell ref="D239:J239"/>
    <mergeCell ref="D209:J209"/>
    <mergeCell ref="D212:J212"/>
    <mergeCell ref="D213:J213"/>
    <mergeCell ref="D216:J216"/>
    <mergeCell ref="D219:J219"/>
    <mergeCell ref="D222:J222"/>
    <mergeCell ref="D242:J242"/>
    <mergeCell ref="D308:J308"/>
    <mergeCell ref="D311:J311"/>
    <mergeCell ref="D277:J277"/>
    <mergeCell ref="D278:J278"/>
    <mergeCell ref="D287:J287"/>
    <mergeCell ref="D295:J295"/>
    <mergeCell ref="D303:J303"/>
    <mergeCell ref="D261:J261"/>
    <mergeCell ref="D251:I251"/>
    <mergeCell ref="D249:J249"/>
    <mergeCell ref="D255:J255"/>
    <mergeCell ref="D258:J258"/>
    <mergeCell ref="D264:J264"/>
    <mergeCell ref="D267:J267"/>
    <mergeCell ref="D270:J270"/>
  </mergeCells>
  <phoneticPr fontId="27" type="noConversion"/>
  <printOptions horizontalCentered="1"/>
  <pageMargins left="0.9055118110236221" right="0.31496062992125984" top="0.78740157480314965" bottom="0.78740157480314965" header="0.31496062992125984" footer="0.31496062992125984"/>
  <pageSetup paperSize="9" scale="92" fitToHeight="0" orientation="portrait" horizontalDpi="300" verticalDpi="300" r:id="rId1"/>
  <headerFooter>
    <oddFooter>&amp;C&amp;P/&amp;N</oddFooter>
  </headerFooter>
  <rowBreaks count="5" manualBreakCount="5">
    <brk id="31" max="10" man="1"/>
    <brk id="83" max="10" man="1"/>
    <brk id="129" max="10" man="1"/>
    <brk id="179" max="10" man="1"/>
    <brk id="224"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8"/>
  <sheetViews>
    <sheetView tabSelected="1" view="pageBreakPreview" topLeftCell="B1" zoomScaleSheetLayoutView="100" workbookViewId="0">
      <selection activeCell="B1" sqref="B1"/>
    </sheetView>
  </sheetViews>
  <sheetFormatPr defaultRowHeight="12.75" x14ac:dyDescent="0.2"/>
  <cols>
    <col min="1" max="1" width="0" hidden="1" customWidth="1"/>
    <col min="2" max="2" width="9" style="222" customWidth="1"/>
    <col min="3" max="3" width="11.28515625" customWidth="1"/>
    <col min="4" max="4" width="45.28515625" customWidth="1"/>
    <col min="5" max="5" width="7.28515625" customWidth="1"/>
    <col min="6" max="6" width="8.42578125" customWidth="1"/>
    <col min="7" max="7" width="9.7109375" customWidth="1"/>
    <col min="8" max="8" width="10.85546875" customWidth="1"/>
    <col min="9" max="9" width="12.42578125" style="177" customWidth="1"/>
  </cols>
  <sheetData>
    <row r="1" spans="1:9" ht="51" customHeight="1" x14ac:dyDescent="0.2">
      <c r="C1" s="382"/>
      <c r="D1" s="382"/>
      <c r="E1" s="382"/>
      <c r="F1" s="382"/>
      <c r="G1" s="382"/>
      <c r="H1" s="382"/>
      <c r="I1" s="165"/>
    </row>
    <row r="2" spans="1:9" ht="5.25" customHeight="1" x14ac:dyDescent="0.2">
      <c r="C2" s="344"/>
      <c r="D2" s="344"/>
      <c r="E2" s="344"/>
      <c r="F2" s="344"/>
      <c r="G2" s="344"/>
      <c r="H2" s="344"/>
      <c r="I2" s="166"/>
    </row>
    <row r="3" spans="1:9" ht="20.100000000000001" customHeight="1" x14ac:dyDescent="0.2">
      <c r="C3" s="383" t="s">
        <v>79</v>
      </c>
      <c r="D3" s="384"/>
      <c r="E3" s="384"/>
      <c r="F3" s="384"/>
      <c r="G3" s="384"/>
      <c r="H3" s="385"/>
      <c r="I3" s="166"/>
    </row>
    <row r="4" spans="1:9" ht="5.25" customHeight="1" x14ac:dyDescent="0.2">
      <c r="C4" s="344"/>
      <c r="D4" s="344"/>
      <c r="E4" s="344"/>
      <c r="F4" s="344"/>
      <c r="G4" s="344"/>
      <c r="H4" s="344"/>
      <c r="I4" s="166"/>
    </row>
    <row r="5" spans="1:9" ht="18" customHeight="1" x14ac:dyDescent="0.2">
      <c r="C5" s="386" t="str">
        <f>Planilha!A5</f>
        <v>OBRA: PROJETO DO ESPAÇO DE LAZER E ESTACIONAMENTO NO PARQUE DO AREÃO</v>
      </c>
      <c r="D5" s="387"/>
      <c r="E5" s="387"/>
      <c r="F5" s="387"/>
      <c r="G5" s="387"/>
      <c r="H5" s="388"/>
      <c r="I5" s="167"/>
    </row>
    <row r="6" spans="1:9" ht="18" customHeight="1" x14ac:dyDescent="0.2">
      <c r="C6" s="389" t="str">
        <f>Planilha!A6</f>
        <v>LOCAL: RUA ANTÔNIO LOUREIRO SOBRINHO, S/Nº - B. LUCÍLIA, JOÃO MONLEVADE</v>
      </c>
      <c r="D6" s="389"/>
      <c r="E6" s="389"/>
      <c r="F6" s="389"/>
      <c r="G6" s="389"/>
      <c r="H6" s="389"/>
      <c r="I6" s="167"/>
    </row>
    <row r="7" spans="1:9" ht="18" customHeight="1" x14ac:dyDescent="0.2">
      <c r="C7" s="386" t="str">
        <f>Planilha!A8</f>
        <v>PRAZO DE EXECUÇÃO: 4 MESES</v>
      </c>
      <c r="D7" s="387"/>
      <c r="E7" s="393" t="str">
        <f>Planilha!H5</f>
        <v>DATA:</v>
      </c>
      <c r="F7" s="393"/>
      <c r="G7" s="394" t="str">
        <f>Planilha!I5</f>
        <v>23/09/2025</v>
      </c>
      <c r="H7" s="388"/>
      <c r="I7" s="167"/>
    </row>
    <row r="8" spans="1:9" ht="6.75" customHeight="1" x14ac:dyDescent="0.2">
      <c r="C8" s="390"/>
      <c r="D8" s="391"/>
      <c r="E8" s="391"/>
      <c r="F8" s="391"/>
      <c r="G8" s="391"/>
      <c r="H8" s="392"/>
      <c r="I8" s="168"/>
    </row>
    <row r="9" spans="1:9" x14ac:dyDescent="0.2">
      <c r="C9" s="63" t="s">
        <v>0</v>
      </c>
      <c r="D9" s="63" t="s">
        <v>1</v>
      </c>
      <c r="E9" s="63" t="s">
        <v>80</v>
      </c>
      <c r="F9" s="64"/>
      <c r="G9" s="65"/>
      <c r="H9" s="66"/>
      <c r="I9" s="169"/>
    </row>
    <row r="10" spans="1:9" x14ac:dyDescent="0.2">
      <c r="A10">
        <v>1</v>
      </c>
      <c r="C10" s="76" t="s">
        <v>87</v>
      </c>
      <c r="D10" s="77" t="s">
        <v>50</v>
      </c>
      <c r="E10" s="282" t="s">
        <v>437</v>
      </c>
      <c r="F10" s="78"/>
      <c r="G10" s="79"/>
      <c r="H10" s="80"/>
      <c r="I10" s="163"/>
    </row>
    <row r="11" spans="1:9" x14ac:dyDescent="0.2">
      <c r="A11">
        <v>2</v>
      </c>
      <c r="C11" s="67" t="s">
        <v>2</v>
      </c>
      <c r="D11" s="67" t="s">
        <v>148</v>
      </c>
      <c r="E11" s="67" t="s">
        <v>80</v>
      </c>
      <c r="F11" s="68" t="s">
        <v>17</v>
      </c>
      <c r="G11" s="69" t="s">
        <v>81</v>
      </c>
      <c r="H11" s="69" t="s">
        <v>15</v>
      </c>
      <c r="I11" s="164"/>
    </row>
    <row r="12" spans="1:9" x14ac:dyDescent="0.2">
      <c r="A12">
        <v>3</v>
      </c>
      <c r="C12" s="102"/>
      <c r="D12" s="102" t="s">
        <v>147</v>
      </c>
      <c r="E12" s="102"/>
      <c r="F12" s="68"/>
      <c r="G12" s="69"/>
      <c r="H12" s="69"/>
      <c r="I12" s="164"/>
    </row>
    <row r="13" spans="1:9" ht="23.25" customHeight="1" x14ac:dyDescent="0.2">
      <c r="A13">
        <v>4</v>
      </c>
      <c r="B13" s="222" t="s">
        <v>371</v>
      </c>
      <c r="C13" s="52" t="s">
        <v>166</v>
      </c>
      <c r="D13" s="6" t="s">
        <v>64</v>
      </c>
      <c r="E13" s="48" t="s">
        <v>55</v>
      </c>
      <c r="F13" s="71">
        <f>(4*5*4)/220*4</f>
        <v>1.454545</v>
      </c>
      <c r="G13" s="47">
        <v>10604.45</v>
      </c>
      <c r="H13" s="46">
        <f>ROUND(F13*G13,2)</f>
        <v>15424.65</v>
      </c>
      <c r="I13" s="173" t="str">
        <f>C13</f>
        <v>ED-21776</v>
      </c>
    </row>
    <row r="14" spans="1:9" ht="22.5" customHeight="1" x14ac:dyDescent="0.2">
      <c r="A14">
        <v>5</v>
      </c>
      <c r="B14" s="222" t="s">
        <v>371</v>
      </c>
      <c r="C14" s="52" t="s">
        <v>167</v>
      </c>
      <c r="D14" s="6" t="s">
        <v>104</v>
      </c>
      <c r="E14" s="48" t="s">
        <v>55</v>
      </c>
      <c r="F14" s="71">
        <f>(2*2*4)/220*4</f>
        <v>0.29090899999999997</v>
      </c>
      <c r="G14" s="47">
        <v>23126.07</v>
      </c>
      <c r="H14" s="46">
        <f>ROUND(F14*G14,2)</f>
        <v>6727.58</v>
      </c>
      <c r="I14" s="173" t="str">
        <f>C14</f>
        <v>ED-21769</v>
      </c>
    </row>
    <row r="15" spans="1:9" x14ac:dyDescent="0.2">
      <c r="A15">
        <v>6</v>
      </c>
      <c r="C15" s="70"/>
      <c r="D15" s="70"/>
      <c r="E15" s="70"/>
      <c r="F15" s="72"/>
      <c r="G15" s="73"/>
      <c r="H15" s="74">
        <f>SUBTOTAL(9,H13:H14)</f>
        <v>22152.23</v>
      </c>
      <c r="I15" s="170"/>
    </row>
    <row r="16" spans="1:9" x14ac:dyDescent="0.2">
      <c r="A16">
        <v>7</v>
      </c>
      <c r="C16" s="395"/>
      <c r="D16" s="395"/>
      <c r="E16" s="395"/>
      <c r="F16" s="395"/>
      <c r="G16" s="395"/>
      <c r="H16" s="395"/>
      <c r="I16" s="171"/>
    </row>
    <row r="17" spans="1:9" ht="7.5" customHeight="1" x14ac:dyDescent="0.2">
      <c r="A17">
        <v>17</v>
      </c>
      <c r="C17" s="397"/>
      <c r="D17" s="398"/>
      <c r="E17" s="398"/>
      <c r="F17" s="398"/>
      <c r="G17" s="398"/>
      <c r="H17" s="399"/>
      <c r="I17" s="175"/>
    </row>
    <row r="18" spans="1:9" ht="63.75" x14ac:dyDescent="0.2">
      <c r="A18">
        <v>18</v>
      </c>
      <c r="C18" s="76" t="str">
        <f>Planilha!C38</f>
        <v>CPU-002</v>
      </c>
      <c r="D18" s="204" t="str">
        <f>Planilha!D38</f>
        <v>MURETA/ENCHIMENTO EM CONCRETO CICLÓPICO, ESP. DE 15CM, ALTURA MÉDIA IGUAL A 0,4 M. INCLUSIVE ESCAVAÇÕES, MONTAGEM E DESMONTAGEM DE FORMA, CONCRETAGEM, CHAPISCO E RECOBO (ESP.=25MM). (SOB CERCA NYLOFOR EXISTENTE)</v>
      </c>
      <c r="E18" s="76" t="s">
        <v>98</v>
      </c>
      <c r="F18" s="78"/>
      <c r="G18" s="79"/>
      <c r="H18" s="80"/>
      <c r="I18" s="172"/>
    </row>
    <row r="19" spans="1:9" x14ac:dyDescent="0.2">
      <c r="A19">
        <v>19</v>
      </c>
      <c r="C19" s="102" t="s">
        <v>101</v>
      </c>
      <c r="D19" s="102" t="s">
        <v>102</v>
      </c>
      <c r="E19" s="102" t="s">
        <v>80</v>
      </c>
      <c r="F19" s="68" t="s">
        <v>17</v>
      </c>
      <c r="G19" s="69" t="s">
        <v>81</v>
      </c>
      <c r="H19" s="69" t="s">
        <v>15</v>
      </c>
      <c r="I19" s="174"/>
    </row>
    <row r="20" spans="1:9" x14ac:dyDescent="0.2">
      <c r="A20">
        <v>20</v>
      </c>
      <c r="B20" s="222" t="s">
        <v>373</v>
      </c>
      <c r="C20" s="5">
        <v>93358</v>
      </c>
      <c r="D20" s="9" t="s">
        <v>229</v>
      </c>
      <c r="E20" s="285" t="s">
        <v>76</v>
      </c>
      <c r="F20" s="97">
        <f>0.4*0.15*1</f>
        <v>0.06</v>
      </c>
      <c r="G20" s="98">
        <v>89.55</v>
      </c>
      <c r="H20" s="46">
        <f t="shared" ref="H20:H25" si="0">ROUND(F20*G20,2)</f>
        <v>5.37</v>
      </c>
      <c r="I20" s="174"/>
    </row>
    <row r="21" spans="1:9" ht="39.75" customHeight="1" x14ac:dyDescent="0.2">
      <c r="A21">
        <v>21</v>
      </c>
      <c r="B21" s="222" t="s">
        <v>373</v>
      </c>
      <c r="C21" s="5">
        <v>97083</v>
      </c>
      <c r="D21" s="9" t="s">
        <v>219</v>
      </c>
      <c r="E21" s="285" t="s">
        <v>6</v>
      </c>
      <c r="F21" s="97">
        <f>0.15*1</f>
        <v>0.15</v>
      </c>
      <c r="G21" s="98">
        <v>3.58</v>
      </c>
      <c r="H21" s="46">
        <f t="shared" si="0"/>
        <v>0.54</v>
      </c>
      <c r="I21" s="173">
        <f>C21</f>
        <v>97083</v>
      </c>
    </row>
    <row r="22" spans="1:9" ht="26.25" customHeight="1" x14ac:dyDescent="0.2">
      <c r="A22">
        <v>22</v>
      </c>
      <c r="B22" s="222" t="s">
        <v>373</v>
      </c>
      <c r="C22" s="5">
        <v>102487</v>
      </c>
      <c r="D22" s="9" t="s">
        <v>220</v>
      </c>
      <c r="E22" s="285" t="s">
        <v>7</v>
      </c>
      <c r="F22" s="97">
        <f>0.15*0.8*1</f>
        <v>0.12</v>
      </c>
      <c r="G22" s="98">
        <v>663.06</v>
      </c>
      <c r="H22" s="46">
        <f t="shared" si="0"/>
        <v>79.569999999999993</v>
      </c>
      <c r="I22" s="173">
        <f>C22</f>
        <v>102487</v>
      </c>
    </row>
    <row r="23" spans="1:9" ht="37.5" customHeight="1" x14ac:dyDescent="0.2">
      <c r="A23">
        <v>23</v>
      </c>
      <c r="B23" s="222" t="s">
        <v>373</v>
      </c>
      <c r="C23" s="52">
        <v>96536</v>
      </c>
      <c r="D23" s="6" t="s">
        <v>218</v>
      </c>
      <c r="E23" s="285" t="s">
        <v>6</v>
      </c>
      <c r="F23" s="97">
        <f>0.6*1</f>
        <v>0.6</v>
      </c>
      <c r="G23" s="122">
        <v>71.77</v>
      </c>
      <c r="H23" s="46">
        <f t="shared" si="0"/>
        <v>43.06</v>
      </c>
      <c r="I23" s="202">
        <f>C23</f>
        <v>96536</v>
      </c>
    </row>
    <row r="24" spans="1:9" ht="51" customHeight="1" x14ac:dyDescent="0.2">
      <c r="A24">
        <v>24</v>
      </c>
      <c r="B24" s="222" t="s">
        <v>373</v>
      </c>
      <c r="C24" s="52">
        <v>87893</v>
      </c>
      <c r="D24" s="6" t="s">
        <v>221</v>
      </c>
      <c r="E24" s="285" t="s">
        <v>6</v>
      </c>
      <c r="F24" s="97">
        <f>0.4*1</f>
        <v>0.4</v>
      </c>
      <c r="G24" s="122">
        <v>8.07</v>
      </c>
      <c r="H24" s="46">
        <f t="shared" si="0"/>
        <v>3.23</v>
      </c>
      <c r="I24" s="202"/>
    </row>
    <row r="25" spans="1:9" ht="51" customHeight="1" x14ac:dyDescent="0.2">
      <c r="A25">
        <v>25</v>
      </c>
      <c r="B25" s="222" t="s">
        <v>373</v>
      </c>
      <c r="C25" s="52">
        <v>87794</v>
      </c>
      <c r="D25" s="6" t="s">
        <v>225</v>
      </c>
      <c r="E25" s="285" t="s">
        <v>6</v>
      </c>
      <c r="F25" s="97">
        <v>1</v>
      </c>
      <c r="G25" s="122">
        <v>47.98</v>
      </c>
      <c r="H25" s="46">
        <f t="shared" si="0"/>
        <v>47.98</v>
      </c>
      <c r="I25" s="202"/>
    </row>
    <row r="26" spans="1:9" x14ac:dyDescent="0.2">
      <c r="A26">
        <v>26</v>
      </c>
      <c r="C26" s="70"/>
      <c r="D26" s="70"/>
      <c r="E26" s="70"/>
      <c r="F26" s="72"/>
      <c r="G26" s="73"/>
      <c r="H26" s="74">
        <f>SUM(H20:H25)</f>
        <v>179.75</v>
      </c>
      <c r="I26" s="170"/>
    </row>
    <row r="27" spans="1:9" ht="8.25" customHeight="1" x14ac:dyDescent="0.2">
      <c r="A27">
        <v>27</v>
      </c>
      <c r="C27" s="395"/>
      <c r="D27" s="395"/>
      <c r="E27" s="395"/>
      <c r="F27" s="395"/>
      <c r="G27" s="395"/>
      <c r="H27" s="395"/>
      <c r="I27" s="171"/>
    </row>
    <row r="28" spans="1:9" ht="76.5" x14ac:dyDescent="0.2">
      <c r="A28">
        <v>28</v>
      </c>
      <c r="C28" s="76" t="str">
        <f>Planilha!C39</f>
        <v>CPU-003</v>
      </c>
      <c r="D28" s="204" t="str">
        <f>Planilha!D39</f>
        <v>MURETA EM BLOCO DE CONCRETO CHEIO, COM ESPESSURA ACABADA DE 20CM,  ALTURA DE 40CM, BLOCO DE 15CM, COM BASE EM CONCRETO CICLÓPICO 20X20CM, INCLUSIVE ESCAVAÇÃO COM TRANSPORTE E RETIRADA DO MATERIAL ESCAVADO (EM CAÇAMBA), IMPERMEABILIZAÇÃO, CHAPISCO E REBOCO (ESP.=25MM)</v>
      </c>
      <c r="E28" s="76" t="s">
        <v>98</v>
      </c>
      <c r="F28" s="78"/>
      <c r="G28" s="79"/>
      <c r="H28" s="80"/>
      <c r="I28" s="172"/>
    </row>
    <row r="29" spans="1:9" x14ac:dyDescent="0.2">
      <c r="A29">
        <v>29</v>
      </c>
      <c r="C29" s="102" t="s">
        <v>101</v>
      </c>
      <c r="D29" s="102" t="s">
        <v>102</v>
      </c>
      <c r="E29" s="102" t="s">
        <v>80</v>
      </c>
      <c r="F29" s="68" t="s">
        <v>17</v>
      </c>
      <c r="G29" s="69" t="s">
        <v>81</v>
      </c>
      <c r="H29" s="69" t="s">
        <v>15</v>
      </c>
      <c r="I29" s="174"/>
    </row>
    <row r="30" spans="1:9" x14ac:dyDescent="0.2">
      <c r="A30">
        <v>30</v>
      </c>
      <c r="B30" s="222" t="s">
        <v>373</v>
      </c>
      <c r="C30" s="5">
        <v>93358</v>
      </c>
      <c r="D30" s="9" t="s">
        <v>229</v>
      </c>
      <c r="E30" s="285" t="s">
        <v>76</v>
      </c>
      <c r="F30" s="97">
        <f>0.4*0.25*1</f>
        <v>0.1</v>
      </c>
      <c r="G30" s="98">
        <v>89.55</v>
      </c>
      <c r="H30" s="46">
        <f t="shared" ref="H30:H39" si="1">ROUND(F30*G30,2)</f>
        <v>8.9600000000000009</v>
      </c>
      <c r="I30" s="173">
        <f t="shared" ref="I30:I37" si="2">C30</f>
        <v>93358</v>
      </c>
    </row>
    <row r="31" spans="1:9" ht="36" customHeight="1" x14ac:dyDescent="0.2">
      <c r="A31">
        <v>31</v>
      </c>
      <c r="B31" s="222" t="s">
        <v>373</v>
      </c>
      <c r="C31" s="5">
        <v>97083</v>
      </c>
      <c r="D31" s="9" t="s">
        <v>219</v>
      </c>
      <c r="E31" s="285" t="s">
        <v>6</v>
      </c>
      <c r="F31" s="97">
        <f>0.4*1</f>
        <v>0.4</v>
      </c>
      <c r="G31" s="98">
        <v>3.58</v>
      </c>
      <c r="H31" s="46">
        <f t="shared" si="1"/>
        <v>1.43</v>
      </c>
      <c r="I31" s="173">
        <f t="shared" si="2"/>
        <v>97083</v>
      </c>
    </row>
    <row r="32" spans="1:9" ht="24" customHeight="1" x14ac:dyDescent="0.2">
      <c r="A32">
        <v>32</v>
      </c>
      <c r="B32" s="222" t="s">
        <v>373</v>
      </c>
      <c r="C32" s="5">
        <v>96536</v>
      </c>
      <c r="D32" s="9" t="s">
        <v>218</v>
      </c>
      <c r="E32" s="285" t="s">
        <v>6</v>
      </c>
      <c r="F32" s="97">
        <f>0.2*1*2</f>
        <v>0.4</v>
      </c>
      <c r="G32" s="98">
        <v>71.77</v>
      </c>
      <c r="H32" s="46">
        <f t="shared" si="1"/>
        <v>28.71</v>
      </c>
      <c r="I32" s="173">
        <f t="shared" si="2"/>
        <v>96536</v>
      </c>
    </row>
    <row r="33" spans="1:9" ht="24.75" customHeight="1" x14ac:dyDescent="0.2">
      <c r="A33">
        <v>33</v>
      </c>
      <c r="B33" s="222" t="s">
        <v>373</v>
      </c>
      <c r="C33" s="5">
        <v>102487</v>
      </c>
      <c r="D33" s="9" t="s">
        <v>220</v>
      </c>
      <c r="E33" s="285" t="s">
        <v>7</v>
      </c>
      <c r="F33" s="97">
        <f>0.15*0.2*1</f>
        <v>0.03</v>
      </c>
      <c r="G33" s="98">
        <v>663.06</v>
      </c>
      <c r="H33" s="46">
        <f t="shared" si="1"/>
        <v>19.89</v>
      </c>
      <c r="I33" s="173">
        <f t="shared" si="2"/>
        <v>102487</v>
      </c>
    </row>
    <row r="34" spans="1:9" ht="25.5" x14ac:dyDescent="0.2">
      <c r="A34">
        <v>34</v>
      </c>
      <c r="B34" s="222" t="s">
        <v>373</v>
      </c>
      <c r="C34" s="5">
        <v>98557</v>
      </c>
      <c r="D34" s="9" t="s">
        <v>226</v>
      </c>
      <c r="E34" s="285" t="s">
        <v>7</v>
      </c>
      <c r="F34" s="97">
        <f>0.15*1*3</f>
        <v>0.45</v>
      </c>
      <c r="G34" s="46">
        <v>43.04</v>
      </c>
      <c r="H34" s="46">
        <f t="shared" si="1"/>
        <v>19.37</v>
      </c>
      <c r="I34" s="173">
        <f t="shared" si="2"/>
        <v>98557</v>
      </c>
    </row>
    <row r="35" spans="1:9" ht="39" customHeight="1" x14ac:dyDescent="0.2">
      <c r="A35">
        <v>35</v>
      </c>
      <c r="B35" s="222" t="s">
        <v>373</v>
      </c>
      <c r="C35" s="52">
        <v>103318</v>
      </c>
      <c r="D35" s="6" t="s">
        <v>227</v>
      </c>
      <c r="E35" s="285" t="s">
        <v>6</v>
      </c>
      <c r="F35" s="97">
        <v>0.4</v>
      </c>
      <c r="G35" s="122">
        <v>109.46</v>
      </c>
      <c r="H35" s="46">
        <f t="shared" si="1"/>
        <v>43.78</v>
      </c>
      <c r="I35" s="173">
        <f t="shared" si="2"/>
        <v>103318</v>
      </c>
    </row>
    <row r="36" spans="1:9" ht="39" customHeight="1" x14ac:dyDescent="0.2">
      <c r="A36">
        <v>36</v>
      </c>
      <c r="B36" s="222" t="s">
        <v>373</v>
      </c>
      <c r="C36" s="52">
        <v>102474</v>
      </c>
      <c r="D36" s="6" t="s">
        <v>228</v>
      </c>
      <c r="E36" s="285" t="s">
        <v>7</v>
      </c>
      <c r="F36" s="97">
        <f>(0.08*0.19*0.29*12.5)*F35</f>
        <v>2.2040000000000001E-2</v>
      </c>
      <c r="G36" s="122">
        <v>691.89</v>
      </c>
      <c r="H36" s="46">
        <f t="shared" si="1"/>
        <v>15.25</v>
      </c>
      <c r="I36" s="173">
        <f t="shared" si="2"/>
        <v>102474</v>
      </c>
    </row>
    <row r="37" spans="1:9" ht="38.25" x14ac:dyDescent="0.2">
      <c r="A37">
        <v>37</v>
      </c>
      <c r="B37" s="222" t="s">
        <v>373</v>
      </c>
      <c r="C37" s="52">
        <v>87893</v>
      </c>
      <c r="D37" s="6" t="s">
        <v>383</v>
      </c>
      <c r="E37" s="285" t="s">
        <v>6</v>
      </c>
      <c r="F37" s="97">
        <f>0.45*1*2</f>
        <v>0.9</v>
      </c>
      <c r="G37" s="122">
        <v>8.07</v>
      </c>
      <c r="H37" s="46">
        <f t="shared" si="1"/>
        <v>7.26</v>
      </c>
      <c r="I37" s="173">
        <f t="shared" si="2"/>
        <v>87893</v>
      </c>
    </row>
    <row r="38" spans="1:9" ht="38.25" x14ac:dyDescent="0.2">
      <c r="A38">
        <v>38</v>
      </c>
      <c r="B38" s="222" t="s">
        <v>373</v>
      </c>
      <c r="C38" s="52">
        <v>87794</v>
      </c>
      <c r="D38" s="6" t="s">
        <v>381</v>
      </c>
      <c r="E38" s="285" t="s">
        <v>6</v>
      </c>
      <c r="F38" s="97">
        <f>0.45*2</f>
        <v>0.9</v>
      </c>
      <c r="G38" s="122">
        <v>47.98</v>
      </c>
      <c r="H38" s="46">
        <f t="shared" si="1"/>
        <v>43.18</v>
      </c>
      <c r="I38" s="173"/>
    </row>
    <row r="39" spans="1:9" ht="38.25" customHeight="1" x14ac:dyDescent="0.2">
      <c r="A39">
        <v>39</v>
      </c>
      <c r="B39" s="222" t="s">
        <v>373</v>
      </c>
      <c r="C39" s="52">
        <v>87737</v>
      </c>
      <c r="D39" s="6" t="s">
        <v>382</v>
      </c>
      <c r="E39" s="285" t="s">
        <v>6</v>
      </c>
      <c r="F39" s="97">
        <v>0.2</v>
      </c>
      <c r="G39" s="122">
        <v>51.04</v>
      </c>
      <c r="H39" s="46">
        <f t="shared" si="1"/>
        <v>10.210000000000001</v>
      </c>
      <c r="I39" s="173"/>
    </row>
    <row r="40" spans="1:9" x14ac:dyDescent="0.2">
      <c r="A40">
        <v>40</v>
      </c>
      <c r="C40" s="70"/>
      <c r="D40" s="70"/>
      <c r="E40" s="70"/>
      <c r="F40" s="72"/>
      <c r="G40" s="73"/>
      <c r="H40" s="74">
        <f>SUM(H30:H39)</f>
        <v>198.04</v>
      </c>
      <c r="I40" s="170"/>
    </row>
    <row r="41" spans="1:9" ht="6.75" customHeight="1" x14ac:dyDescent="0.2">
      <c r="A41">
        <v>41</v>
      </c>
      <c r="C41" s="395"/>
      <c r="D41" s="395"/>
      <c r="E41" s="395"/>
      <c r="F41" s="395"/>
      <c r="G41" s="395"/>
      <c r="H41" s="395"/>
      <c r="I41" s="171"/>
    </row>
    <row r="42" spans="1:9" ht="38.25" x14ac:dyDescent="0.2">
      <c r="A42">
        <v>42</v>
      </c>
      <c r="C42" s="76" t="str">
        <f>Planilha!C53</f>
        <v>CPU-004</v>
      </c>
      <c r="D42" s="204" t="str">
        <f>Planilha!D53</f>
        <v>DUTO CORRUGADO EM PEAD (POLIETILENO DE ALTA DENSIDADE), PARA PROTEÇÃO DE CABOS SUBTERRÂNEOS DN 50 MM (DIÂMETRO INTERNO = 2")</v>
      </c>
      <c r="E42" s="76" t="str">
        <f>Planilha!E53</f>
        <v>M</v>
      </c>
      <c r="F42" s="78"/>
      <c r="G42" s="79"/>
      <c r="H42" s="80"/>
      <c r="I42" s="172"/>
    </row>
    <row r="43" spans="1:9" x14ac:dyDescent="0.2">
      <c r="A43">
        <v>43</v>
      </c>
      <c r="C43" s="102" t="s">
        <v>101</v>
      </c>
      <c r="D43" s="102" t="s">
        <v>102</v>
      </c>
      <c r="E43" s="102" t="s">
        <v>80</v>
      </c>
      <c r="F43" s="68" t="s">
        <v>17</v>
      </c>
      <c r="G43" s="69" t="s">
        <v>81</v>
      </c>
      <c r="H43" s="69" t="s">
        <v>15</v>
      </c>
      <c r="I43" s="174"/>
    </row>
    <row r="44" spans="1:9" ht="39" customHeight="1" x14ac:dyDescent="0.2">
      <c r="A44">
        <v>44</v>
      </c>
      <c r="B44" s="222" t="s">
        <v>371</v>
      </c>
      <c r="C44" s="52" t="s">
        <v>168</v>
      </c>
      <c r="D44" s="6" t="s">
        <v>169</v>
      </c>
      <c r="E44" s="285" t="s">
        <v>98</v>
      </c>
      <c r="F44" s="97">
        <v>1.05</v>
      </c>
      <c r="G44" s="122">
        <v>4.97</v>
      </c>
      <c r="H44" s="47">
        <f>ROUND(F44*G44,2)</f>
        <v>5.22</v>
      </c>
      <c r="I44" s="173" t="str">
        <f>C44</f>
        <v>MATED-11956</v>
      </c>
    </row>
    <row r="45" spans="1:9" x14ac:dyDescent="0.2">
      <c r="A45">
        <v>45</v>
      </c>
      <c r="C45" s="70"/>
      <c r="D45" s="70"/>
      <c r="E45" s="70"/>
      <c r="F45" s="72"/>
      <c r="G45" s="73"/>
      <c r="H45" s="74">
        <f>SUM(H44:H44)</f>
        <v>5.22</v>
      </c>
      <c r="I45" s="170"/>
    </row>
    <row r="46" spans="1:9" ht="7.5" customHeight="1" x14ac:dyDescent="0.2">
      <c r="A46">
        <v>46</v>
      </c>
      <c r="C46" s="92"/>
      <c r="D46" s="92"/>
      <c r="E46" s="92"/>
      <c r="F46" s="93"/>
      <c r="G46" s="94"/>
      <c r="H46" s="95"/>
      <c r="I46" s="170"/>
    </row>
    <row r="47" spans="1:9" ht="38.25" x14ac:dyDescent="0.2">
      <c r="A47">
        <v>47</v>
      </c>
      <c r="C47" s="76" t="str">
        <f>Planilha!C54</f>
        <v>CPU-005</v>
      </c>
      <c r="D47" s="204" t="str">
        <f>Planilha!D54</f>
        <v>CABO DE ALUMÍNIO (4X25MM² - PRETO/ CINZA/ VERMELHO / AZUL OU VERDE) PARA REDE ENTERRADA DE DISTRIBUIÇÃO DE ENERGIA ELÉTRICA - FORNECIMENTO E INSTALAÇÃO.</v>
      </c>
      <c r="E47" s="76" t="str">
        <f>Planilha!E54</f>
        <v>M</v>
      </c>
      <c r="F47" s="78"/>
      <c r="G47" s="79"/>
      <c r="H47" s="80"/>
      <c r="I47" s="172" t="s">
        <v>178</v>
      </c>
    </row>
    <row r="48" spans="1:9" x14ac:dyDescent="0.2">
      <c r="A48">
        <v>48</v>
      </c>
      <c r="C48" s="102" t="s">
        <v>101</v>
      </c>
      <c r="D48" s="102" t="s">
        <v>102</v>
      </c>
      <c r="E48" s="102" t="s">
        <v>80</v>
      </c>
      <c r="F48" s="68" t="s">
        <v>17</v>
      </c>
      <c r="G48" s="69" t="s">
        <v>81</v>
      </c>
      <c r="H48" s="69" t="s">
        <v>15</v>
      </c>
      <c r="I48" s="174"/>
    </row>
    <row r="49" spans="1:9" ht="19.5" customHeight="1" x14ac:dyDescent="0.2">
      <c r="A49">
        <v>49</v>
      </c>
      <c r="B49" s="222" t="s">
        <v>372</v>
      </c>
      <c r="C49" s="5" t="s">
        <v>434</v>
      </c>
      <c r="D49" s="9" t="s">
        <v>174</v>
      </c>
      <c r="E49" s="285" t="s">
        <v>98</v>
      </c>
      <c r="F49" s="97">
        <v>4.0199999999999996</v>
      </c>
      <c r="G49" s="98">
        <v>3.72</v>
      </c>
      <c r="H49" s="46">
        <f>ROUND(F49*G49,2)</f>
        <v>14.95</v>
      </c>
      <c r="I49" s="173" t="str">
        <f>C49</f>
        <v>I8817 (SEINFRA CE)</v>
      </c>
    </row>
    <row r="50" spans="1:9" x14ac:dyDescent="0.2">
      <c r="A50">
        <v>50</v>
      </c>
      <c r="B50" s="222" t="s">
        <v>371</v>
      </c>
      <c r="C50" s="52" t="s">
        <v>449</v>
      </c>
      <c r="D50" s="6" t="s">
        <v>160</v>
      </c>
      <c r="E50" s="285" t="s">
        <v>98</v>
      </c>
      <c r="F50" s="97">
        <f>0.045*4</f>
        <v>0.18</v>
      </c>
      <c r="G50" s="122">
        <v>0.56999999999999995</v>
      </c>
      <c r="H50" s="47">
        <f>ROUND(F50*G50,2)</f>
        <v>0.1</v>
      </c>
      <c r="I50" s="173" t="str">
        <f>C50</f>
        <v>MATED-12522</v>
      </c>
    </row>
    <row r="51" spans="1:9" ht="12" customHeight="1" x14ac:dyDescent="0.2">
      <c r="A51">
        <v>51</v>
      </c>
      <c r="B51" s="222" t="s">
        <v>371</v>
      </c>
      <c r="C51" s="5" t="s">
        <v>164</v>
      </c>
      <c r="D51" s="9" t="s">
        <v>163</v>
      </c>
      <c r="E51" s="285" t="s">
        <v>122</v>
      </c>
      <c r="F51" s="97">
        <v>0.17</v>
      </c>
      <c r="G51" s="98">
        <v>25.52</v>
      </c>
      <c r="H51" s="46">
        <f>ROUND(F51*G51,2)</f>
        <v>4.34</v>
      </c>
      <c r="I51" s="173" t="str">
        <f>C51</f>
        <v>ED-50362</v>
      </c>
    </row>
    <row r="52" spans="1:9" x14ac:dyDescent="0.2">
      <c r="A52">
        <v>52</v>
      </c>
      <c r="B52" s="222" t="s">
        <v>371</v>
      </c>
      <c r="C52" s="5" t="s">
        <v>165</v>
      </c>
      <c r="D52" s="9" t="s">
        <v>126</v>
      </c>
      <c r="E52" s="285" t="s">
        <v>122</v>
      </c>
      <c r="F52" s="97">
        <v>0.17</v>
      </c>
      <c r="G52" s="98">
        <v>31.64</v>
      </c>
      <c r="H52" s="46">
        <f>ROUND(F52*G52,2)</f>
        <v>5.38</v>
      </c>
      <c r="I52" s="173" t="str">
        <f>C52</f>
        <v>ED-50373</v>
      </c>
    </row>
    <row r="53" spans="1:9" x14ac:dyDescent="0.2">
      <c r="A53">
        <v>53</v>
      </c>
      <c r="C53" s="5"/>
      <c r="D53" s="9"/>
      <c r="E53" s="96"/>
      <c r="F53" s="97"/>
      <c r="G53" s="98"/>
      <c r="H53" s="74">
        <f>SUM(H49:H52)</f>
        <v>24.77</v>
      </c>
      <c r="I53" s="170"/>
    </row>
    <row r="54" spans="1:9" x14ac:dyDescent="0.2">
      <c r="A54">
        <v>54</v>
      </c>
      <c r="C54" s="92"/>
      <c r="D54" s="92"/>
      <c r="E54" s="92"/>
      <c r="F54" s="93"/>
      <c r="G54" s="94"/>
      <c r="H54" s="95"/>
      <c r="I54" s="170"/>
    </row>
    <row r="55" spans="1:9" ht="25.5" x14ac:dyDescent="0.2">
      <c r="A55">
        <v>55</v>
      </c>
      <c r="C55" s="76" t="str">
        <f>Planilha!C65</f>
        <v>CPU-006</v>
      </c>
      <c r="D55" s="204" t="str">
        <f>Planilha!D65</f>
        <v>PONTO DE ÁGUA FRIA APARENTE, C/MATERIAL PVC RÍGIDO SOLDÁVEL Ø 25MM</v>
      </c>
      <c r="E55" s="76" t="str">
        <f>Planilha!E65</f>
        <v xml:space="preserve">UN </v>
      </c>
      <c r="F55" s="78"/>
      <c r="G55" s="79"/>
      <c r="H55" s="80"/>
      <c r="I55" s="172"/>
    </row>
    <row r="56" spans="1:9" x14ac:dyDescent="0.2">
      <c r="A56">
        <v>56</v>
      </c>
      <c r="C56" s="102" t="s">
        <v>101</v>
      </c>
      <c r="D56" s="102" t="s">
        <v>102</v>
      </c>
      <c r="E56" s="102" t="s">
        <v>80</v>
      </c>
      <c r="F56" s="68" t="s">
        <v>17</v>
      </c>
      <c r="G56" s="69" t="s">
        <v>81</v>
      </c>
      <c r="H56" s="69" t="s">
        <v>15</v>
      </c>
      <c r="I56" s="174"/>
    </row>
    <row r="57" spans="1:9" ht="25.5" customHeight="1" x14ac:dyDescent="0.2">
      <c r="A57">
        <v>57</v>
      </c>
      <c r="B57" s="222" t="s">
        <v>371</v>
      </c>
      <c r="C57" s="5" t="s">
        <v>328</v>
      </c>
      <c r="D57" s="9" t="s">
        <v>330</v>
      </c>
      <c r="E57" s="285" t="s">
        <v>98</v>
      </c>
      <c r="F57" s="97">
        <v>5</v>
      </c>
      <c r="G57" s="98">
        <v>22.66</v>
      </c>
      <c r="H57" s="46">
        <f>ROUND(F57*G57,2)</f>
        <v>113.3</v>
      </c>
      <c r="I57" s="173" t="str">
        <f>C57</f>
        <v>ED-50018</v>
      </c>
    </row>
    <row r="58" spans="1:9" ht="24" customHeight="1" x14ac:dyDescent="0.2">
      <c r="A58">
        <v>58</v>
      </c>
      <c r="B58" s="222" t="s">
        <v>371</v>
      </c>
      <c r="C58" s="5" t="s">
        <v>332</v>
      </c>
      <c r="D58" s="9" t="s">
        <v>331</v>
      </c>
      <c r="E58" s="285" t="s">
        <v>95</v>
      </c>
      <c r="F58" s="97">
        <v>1</v>
      </c>
      <c r="G58" s="98">
        <v>54.49</v>
      </c>
      <c r="H58" s="46">
        <f>ROUND(F58*G58,2)</f>
        <v>54.49</v>
      </c>
      <c r="I58" s="173" t="str">
        <f>C58</f>
        <v>ED-50323</v>
      </c>
    </row>
    <row r="59" spans="1:9" x14ac:dyDescent="0.2">
      <c r="A59">
        <v>59</v>
      </c>
      <c r="C59" s="5"/>
      <c r="D59" s="9"/>
      <c r="E59" s="96"/>
      <c r="F59" s="97"/>
      <c r="G59" s="98"/>
      <c r="H59" s="74">
        <f>SUM(H57:H58)</f>
        <v>167.79</v>
      </c>
      <c r="I59" s="170"/>
    </row>
    <row r="60" spans="1:9" ht="11.25" customHeight="1" x14ac:dyDescent="0.2">
      <c r="A60">
        <v>60</v>
      </c>
      <c r="C60" s="92"/>
      <c r="D60" s="92"/>
      <c r="E60" s="92"/>
      <c r="F60" s="93"/>
      <c r="G60" s="94"/>
      <c r="H60" s="95"/>
      <c r="I60" s="170"/>
    </row>
    <row r="61" spans="1:9" ht="38.25" customHeight="1" x14ac:dyDescent="0.2">
      <c r="A61">
        <v>61</v>
      </c>
      <c r="C61" s="76" t="str">
        <f>Planilha!C79</f>
        <v>CPU-007</v>
      </c>
      <c r="D61" s="204" t="str">
        <f>Planilha!D79</f>
        <v xml:space="preserve">BARRA DE SALTO COM APOIO EM MADEIRA ROLIÇA DE EUCALÍPTO TRATADO, D=20CM, E BARRA DE AÇO GALVANIZADA DE 1,20M DE COMPRIMENTO. </v>
      </c>
      <c r="E61" s="76" t="str">
        <f>Planilha!E79</f>
        <v xml:space="preserve">UN </v>
      </c>
      <c r="F61" s="78"/>
      <c r="G61" s="79"/>
      <c r="H61" s="80"/>
      <c r="I61" s="170"/>
    </row>
    <row r="62" spans="1:9" x14ac:dyDescent="0.2">
      <c r="A62">
        <v>62</v>
      </c>
      <c r="C62" s="102" t="s">
        <v>101</v>
      </c>
      <c r="D62" s="102" t="s">
        <v>102</v>
      </c>
      <c r="E62" s="102" t="s">
        <v>80</v>
      </c>
      <c r="F62" s="68" t="s">
        <v>17</v>
      </c>
      <c r="G62" s="69" t="s">
        <v>81</v>
      </c>
      <c r="H62" s="69" t="s">
        <v>15</v>
      </c>
      <c r="I62" s="170"/>
    </row>
    <row r="63" spans="1:9" x14ac:dyDescent="0.2">
      <c r="A63">
        <v>63</v>
      </c>
      <c r="B63" s="222" t="s">
        <v>373</v>
      </c>
      <c r="C63" s="52">
        <v>93358</v>
      </c>
      <c r="D63" s="6" t="s">
        <v>229</v>
      </c>
      <c r="E63" s="285" t="s">
        <v>7</v>
      </c>
      <c r="F63" s="97">
        <f>(3.14159*0.4*0.4/4)*0.55*2</f>
        <v>0.13822999999999999</v>
      </c>
      <c r="G63" s="122">
        <v>89.55</v>
      </c>
      <c r="H63" s="46">
        <f t="shared" ref="H63:H68" si="3">ROUND(F63*G63,2)</f>
        <v>12.38</v>
      </c>
      <c r="I63" s="170"/>
    </row>
    <row r="64" spans="1:9" ht="40.5" customHeight="1" x14ac:dyDescent="0.2">
      <c r="A64">
        <v>64</v>
      </c>
      <c r="B64" s="222" t="s">
        <v>374</v>
      </c>
      <c r="C64" s="52" t="s">
        <v>430</v>
      </c>
      <c r="D64" s="6" t="s">
        <v>309</v>
      </c>
      <c r="E64" s="285" t="s">
        <v>6</v>
      </c>
      <c r="F64" s="97">
        <f>(3.14159*0.2*0.4+3.14159*0.2*0.2/4)*2</f>
        <v>0.56548600000000004</v>
      </c>
      <c r="G64" s="122">
        <v>21.27</v>
      </c>
      <c r="H64" s="47">
        <f t="shared" si="3"/>
        <v>12.03</v>
      </c>
      <c r="I64" s="170"/>
    </row>
    <row r="65" spans="1:9" ht="25.5" x14ac:dyDescent="0.2">
      <c r="A65">
        <v>65</v>
      </c>
      <c r="B65" s="222" t="s">
        <v>373</v>
      </c>
      <c r="C65" s="52">
        <v>93382</v>
      </c>
      <c r="D65" s="6" t="s">
        <v>210</v>
      </c>
      <c r="E65" s="285" t="s">
        <v>7</v>
      </c>
      <c r="F65" s="97">
        <f>(3.14159*0.4*0.4/4-3.14159*0.2*0.2/4)*0.4*2</f>
        <v>7.5398000000000007E-2</v>
      </c>
      <c r="G65" s="122">
        <v>28.28</v>
      </c>
      <c r="H65" s="46">
        <f t="shared" si="3"/>
        <v>2.13</v>
      </c>
      <c r="I65" s="170"/>
    </row>
    <row r="66" spans="1:9" ht="38.25" x14ac:dyDescent="0.2">
      <c r="A66">
        <v>66</v>
      </c>
      <c r="B66" s="222" t="s">
        <v>373</v>
      </c>
      <c r="C66" s="52">
        <v>105098</v>
      </c>
      <c r="D66" s="6" t="s">
        <v>307</v>
      </c>
      <c r="E66" s="285" t="s">
        <v>98</v>
      </c>
      <c r="F66" s="97">
        <f>0.5*2+0.4*2</f>
        <v>1.8</v>
      </c>
      <c r="G66" s="122">
        <v>78.959999999999994</v>
      </c>
      <c r="H66" s="46">
        <f t="shared" si="3"/>
        <v>142.13</v>
      </c>
      <c r="I66" s="170"/>
    </row>
    <row r="67" spans="1:9" ht="25.5" x14ac:dyDescent="0.2">
      <c r="A67">
        <v>67</v>
      </c>
      <c r="B67" s="222" t="s">
        <v>373</v>
      </c>
      <c r="C67" s="52">
        <v>21011</v>
      </c>
      <c r="D67" s="6" t="s">
        <v>295</v>
      </c>
      <c r="E67" s="285" t="s">
        <v>95</v>
      </c>
      <c r="F67" s="97">
        <v>1</v>
      </c>
      <c r="G67" s="122">
        <v>52.8</v>
      </c>
      <c r="H67" s="46">
        <f t="shared" si="3"/>
        <v>52.8</v>
      </c>
      <c r="I67" s="170"/>
    </row>
    <row r="68" spans="1:9" ht="38.25" customHeight="1" x14ac:dyDescent="0.2">
      <c r="A68">
        <v>68</v>
      </c>
      <c r="B68" s="222" t="s">
        <v>371</v>
      </c>
      <c r="C68" s="52" t="s">
        <v>350</v>
      </c>
      <c r="D68" s="6" t="s">
        <v>349</v>
      </c>
      <c r="E68" s="285" t="s">
        <v>7</v>
      </c>
      <c r="F68" s="97">
        <f>(3.14159*0.2*0.2/4)*0.15-(3.14159*0.1*0.1/4)*0.1</f>
        <v>3.9269999999999999E-3</v>
      </c>
      <c r="G68" s="122">
        <v>712.5</v>
      </c>
      <c r="H68" s="46">
        <f t="shared" si="3"/>
        <v>2.8</v>
      </c>
      <c r="I68" s="170"/>
    </row>
    <row r="69" spans="1:9" x14ac:dyDescent="0.2">
      <c r="A69">
        <v>69</v>
      </c>
      <c r="C69" s="5"/>
      <c r="D69" s="9"/>
      <c r="E69" s="96"/>
      <c r="F69" s="205"/>
      <c r="G69" s="98"/>
      <c r="H69" s="74">
        <f>SUM(H63:H68)</f>
        <v>224.27</v>
      </c>
      <c r="I69" s="170"/>
    </row>
    <row r="70" spans="1:9" x14ac:dyDescent="0.2">
      <c r="A70">
        <v>70</v>
      </c>
      <c r="C70" s="159"/>
      <c r="D70" s="160"/>
      <c r="E70" s="161"/>
      <c r="F70" s="203"/>
      <c r="G70" s="162"/>
      <c r="H70" s="95"/>
      <c r="I70" s="170"/>
    </row>
    <row r="71" spans="1:9" ht="63.75" x14ac:dyDescent="0.2">
      <c r="A71">
        <v>71</v>
      </c>
      <c r="C71" s="76" t="str">
        <f>Planilha!C80</f>
        <v>CPU-008</v>
      </c>
      <c r="D71" s="204" t="str">
        <f>Planilha!D80</f>
        <v>RAMPA PARA CÃES EM MADEIRA CUMARU OU SIMILAR, COM RAMPAS COM 0,80M DE LARGURA, EXECUTADA COM ASSOALHO DE PAU DARCO SOBRE DUAS PEÇAS 7 X 15CM. PILARETES EM MADEIRA CUMARU 0,1X0,1M (LARG. X COMP.) APOIADA EM BASE.FORNECIMENTO E INSTALAÇÃO</v>
      </c>
      <c r="E71" s="76" t="str">
        <f>Planilha!E80</f>
        <v xml:space="preserve">UN </v>
      </c>
      <c r="F71" s="78"/>
      <c r="G71" s="79"/>
      <c r="H71" s="80"/>
      <c r="I71" s="170"/>
    </row>
    <row r="72" spans="1:9" x14ac:dyDescent="0.2">
      <c r="A72">
        <v>72</v>
      </c>
      <c r="C72" s="102" t="s">
        <v>101</v>
      </c>
      <c r="D72" s="102" t="s">
        <v>102</v>
      </c>
      <c r="E72" s="102" t="s">
        <v>80</v>
      </c>
      <c r="F72" s="68" t="s">
        <v>17</v>
      </c>
      <c r="G72" s="69" t="s">
        <v>81</v>
      </c>
      <c r="H72" s="69" t="s">
        <v>15</v>
      </c>
      <c r="I72" s="170"/>
    </row>
    <row r="73" spans="1:9" x14ac:dyDescent="0.2">
      <c r="A73">
        <v>73</v>
      </c>
      <c r="B73" s="222" t="s">
        <v>373</v>
      </c>
      <c r="C73" s="52">
        <v>93358</v>
      </c>
      <c r="D73" s="6" t="s">
        <v>229</v>
      </c>
      <c r="E73" s="285" t="s">
        <v>7</v>
      </c>
      <c r="F73" s="97">
        <f>(3.14159*0.3*0.3/4)*0.55*6</f>
        <v>0.233263</v>
      </c>
      <c r="G73" s="122">
        <v>89.55</v>
      </c>
      <c r="H73" s="46">
        <f t="shared" ref="H73:H85" si="4">ROUND(F73*G73,2)</f>
        <v>20.89</v>
      </c>
      <c r="I73" s="170"/>
    </row>
    <row r="74" spans="1:9" ht="40.5" customHeight="1" x14ac:dyDescent="0.2">
      <c r="A74">
        <v>74</v>
      </c>
      <c r="B74" s="222" t="s">
        <v>374</v>
      </c>
      <c r="C74" s="52" t="s">
        <v>430</v>
      </c>
      <c r="D74" s="6" t="s">
        <v>309</v>
      </c>
      <c r="E74" s="285" t="s">
        <v>6</v>
      </c>
      <c r="F74" s="97">
        <f>(0.1*4*0.5+0.1*0.1)*6</f>
        <v>1.26</v>
      </c>
      <c r="G74" s="122">
        <v>21.27</v>
      </c>
      <c r="H74" s="47">
        <f t="shared" si="4"/>
        <v>26.8</v>
      </c>
      <c r="I74" s="170"/>
    </row>
    <row r="75" spans="1:9" ht="25.5" x14ac:dyDescent="0.2">
      <c r="A75">
        <v>75</v>
      </c>
      <c r="B75" s="222" t="s">
        <v>373</v>
      </c>
      <c r="C75" s="52">
        <v>93382</v>
      </c>
      <c r="D75" s="6" t="s">
        <v>210</v>
      </c>
      <c r="E75" s="285" t="s">
        <v>7</v>
      </c>
      <c r="F75" s="97">
        <f>((3.14159*0.3*0.3/4)*0.5-0.1*0.1*0.4)*6</f>
        <v>0.188057</v>
      </c>
      <c r="G75" s="122">
        <v>28.28</v>
      </c>
      <c r="H75" s="46">
        <f t="shared" si="4"/>
        <v>5.32</v>
      </c>
      <c r="I75" s="170"/>
    </row>
    <row r="76" spans="1:9" ht="51" x14ac:dyDescent="0.2">
      <c r="A76">
        <v>78</v>
      </c>
      <c r="B76" s="222" t="s">
        <v>373</v>
      </c>
      <c r="C76" s="52">
        <v>105061</v>
      </c>
      <c r="D76" s="6" t="s">
        <v>305</v>
      </c>
      <c r="E76" s="285" t="s">
        <v>98</v>
      </c>
      <c r="F76" s="97">
        <f>(1.4+0.8*2)*2</f>
        <v>6</v>
      </c>
      <c r="G76" s="122">
        <v>115.23</v>
      </c>
      <c r="H76" s="46">
        <f t="shared" si="4"/>
        <v>691.38</v>
      </c>
      <c r="I76" s="170"/>
    </row>
    <row r="77" spans="1:9" ht="38.25" x14ac:dyDescent="0.2">
      <c r="A77">
        <v>79</v>
      </c>
      <c r="B77" s="222" t="s">
        <v>371</v>
      </c>
      <c r="C77" s="52" t="s">
        <v>173</v>
      </c>
      <c r="D77" s="6" t="s">
        <v>170</v>
      </c>
      <c r="E77" s="285" t="s">
        <v>7</v>
      </c>
      <c r="F77" s="97">
        <f>(3.14159*0.3*0.3*0.15-0.1*0.1*0.1)*6</f>
        <v>0.248469</v>
      </c>
      <c r="G77" s="122">
        <v>776.63</v>
      </c>
      <c r="H77" s="46">
        <f t="shared" si="4"/>
        <v>192.97</v>
      </c>
      <c r="I77" s="170"/>
    </row>
    <row r="78" spans="1:9" ht="38.25" x14ac:dyDescent="0.2">
      <c r="A78">
        <v>80</v>
      </c>
      <c r="B78" s="222" t="s">
        <v>371</v>
      </c>
      <c r="C78" s="52" t="s">
        <v>300</v>
      </c>
      <c r="D78" s="6" t="s">
        <v>304</v>
      </c>
      <c r="E78" s="285" t="s">
        <v>6</v>
      </c>
      <c r="F78" s="97">
        <f>0.75*(1.65*2)+1*1.2</f>
        <v>3.6749999999999998</v>
      </c>
      <c r="G78" s="122">
        <v>93.71</v>
      </c>
      <c r="H78" s="46">
        <f t="shared" si="4"/>
        <v>344.38</v>
      </c>
      <c r="I78" s="170"/>
    </row>
    <row r="79" spans="1:9" ht="38.25" x14ac:dyDescent="0.2">
      <c r="A79">
        <v>81</v>
      </c>
      <c r="B79" s="222" t="s">
        <v>371</v>
      </c>
      <c r="C79" s="52" t="s">
        <v>301</v>
      </c>
      <c r="D79" s="6" t="s">
        <v>303</v>
      </c>
      <c r="E79" s="285" t="s">
        <v>6</v>
      </c>
      <c r="F79" s="97">
        <f>0.75*1.4*2+1*1.2</f>
        <v>3.3</v>
      </c>
      <c r="G79" s="122">
        <v>253.33</v>
      </c>
      <c r="H79" s="46">
        <f t="shared" si="4"/>
        <v>835.99</v>
      </c>
      <c r="I79" s="170"/>
    </row>
    <row r="80" spans="1:9" ht="26.25" customHeight="1" x14ac:dyDescent="0.2">
      <c r="A80">
        <v>82</v>
      </c>
      <c r="B80" s="222" t="s">
        <v>373</v>
      </c>
      <c r="C80" s="52">
        <v>105080</v>
      </c>
      <c r="D80" s="6" t="s">
        <v>351</v>
      </c>
      <c r="E80" s="285" t="s">
        <v>98</v>
      </c>
      <c r="F80" s="97">
        <f>1.65*4</f>
        <v>6.6</v>
      </c>
      <c r="G80" s="122">
        <v>76.760000000000005</v>
      </c>
      <c r="H80" s="47">
        <f t="shared" si="4"/>
        <v>506.62</v>
      </c>
      <c r="I80" s="170"/>
    </row>
    <row r="81" spans="1:9" ht="14.25" customHeight="1" x14ac:dyDescent="0.2">
      <c r="C81" s="52">
        <v>102234</v>
      </c>
      <c r="D81" s="6" t="s">
        <v>313</v>
      </c>
      <c r="E81" s="285" t="s">
        <v>6</v>
      </c>
      <c r="F81" s="97">
        <f>((0.1*4*0.5)+0.1*0.1)*6</f>
        <v>1.26</v>
      </c>
      <c r="G81" s="122">
        <v>23.76</v>
      </c>
      <c r="H81" s="47">
        <f t="shared" si="4"/>
        <v>29.94</v>
      </c>
      <c r="I81" s="170"/>
    </row>
    <row r="82" spans="1:9" ht="38.25" x14ac:dyDescent="0.2">
      <c r="A82">
        <v>83</v>
      </c>
      <c r="B82" s="222" t="s">
        <v>373</v>
      </c>
      <c r="C82" s="52" t="s">
        <v>360</v>
      </c>
      <c r="D82" s="6" t="s">
        <v>359</v>
      </c>
      <c r="E82" s="285" t="s">
        <v>6</v>
      </c>
      <c r="F82" s="97">
        <f>F78+F79*2+F80*0.36+0.4*F76-F81</f>
        <v>13.791</v>
      </c>
      <c r="G82" s="122">
        <v>50.61</v>
      </c>
      <c r="H82" s="47">
        <f>ROUND(F82*G82,2)</f>
        <v>697.96</v>
      </c>
      <c r="I82" s="170"/>
    </row>
    <row r="83" spans="1:9" ht="25.5" x14ac:dyDescent="0.2">
      <c r="A83">
        <v>84</v>
      </c>
      <c r="B83" s="222" t="s">
        <v>373</v>
      </c>
      <c r="C83" s="52">
        <v>4343</v>
      </c>
      <c r="D83" s="6" t="s">
        <v>171</v>
      </c>
      <c r="E83" s="285" t="s">
        <v>95</v>
      </c>
      <c r="F83" s="97">
        <v>20</v>
      </c>
      <c r="G83" s="122">
        <v>5.58</v>
      </c>
      <c r="H83" s="47">
        <f t="shared" si="4"/>
        <v>111.6</v>
      </c>
      <c r="I83" s="170"/>
    </row>
    <row r="84" spans="1:9" x14ac:dyDescent="0.2">
      <c r="A84">
        <v>85</v>
      </c>
      <c r="B84" s="222" t="s">
        <v>373</v>
      </c>
      <c r="C84" s="52">
        <v>88273</v>
      </c>
      <c r="D84" s="6" t="s">
        <v>311</v>
      </c>
      <c r="E84" s="285" t="s">
        <v>122</v>
      </c>
      <c r="F84" s="97">
        <v>10</v>
      </c>
      <c r="G84" s="122">
        <v>30.86</v>
      </c>
      <c r="H84" s="46">
        <f t="shared" si="4"/>
        <v>308.60000000000002</v>
      </c>
      <c r="I84" s="170"/>
    </row>
    <row r="85" spans="1:9" x14ac:dyDescent="0.2">
      <c r="A85">
        <v>86</v>
      </c>
      <c r="B85" s="222" t="s">
        <v>373</v>
      </c>
      <c r="C85" s="52">
        <v>88243</v>
      </c>
      <c r="D85" s="6" t="s">
        <v>312</v>
      </c>
      <c r="E85" s="285" t="s">
        <v>122</v>
      </c>
      <c r="F85" s="97">
        <v>10</v>
      </c>
      <c r="G85" s="122">
        <v>26.45</v>
      </c>
      <c r="H85" s="46">
        <f t="shared" si="4"/>
        <v>264.5</v>
      </c>
      <c r="I85" s="170"/>
    </row>
    <row r="86" spans="1:9" x14ac:dyDescent="0.2">
      <c r="A86">
        <v>87</v>
      </c>
      <c r="C86" s="52"/>
      <c r="D86" s="6"/>
      <c r="E86" s="96"/>
      <c r="F86" s="97"/>
      <c r="G86" s="122"/>
      <c r="H86" s="74">
        <f>SUM(H73:H85)</f>
        <v>4036.95</v>
      </c>
      <c r="I86" s="170"/>
    </row>
    <row r="87" spans="1:9" x14ac:dyDescent="0.2">
      <c r="A87">
        <v>88</v>
      </c>
      <c r="C87" s="52"/>
      <c r="D87" s="6"/>
      <c r="E87" s="96"/>
      <c r="F87" s="97"/>
      <c r="G87" s="122"/>
      <c r="H87" s="46"/>
      <c r="I87" s="170"/>
    </row>
    <row r="88" spans="1:9" ht="105" customHeight="1" x14ac:dyDescent="0.2">
      <c r="A88">
        <v>89</v>
      </c>
      <c r="C88" s="76" t="str">
        <f>Planilha!C81</f>
        <v>CPU-009</v>
      </c>
      <c r="D88" s="204" t="str">
        <f>Planilha!D81</f>
        <v>PASSARELA PET EM MADEIRA CUMARU OU SIMILAR, COM RAMPAS COM 0,80M DE LARGURA, EXECUTADA COM ASSOALHO DE PAU DARCO SOBRE DUAS PEÇAS 7 X 15CM E PATAMAR COM ASSOALHO DE MADEIRA COM DIMENSÕES 1,00X1,00X1,00M (LARG. X COMP. X ALT.). PILARETES EM MADEIRA CUMARU 0,1X0,1M (LARG. X COMP.) APOIADA EM BASE EM CONCRETO 20 MPA, COM DIMENSÕES 0,3X0,3X0,3M (LARG. X COMP. X ALT.).FORNECIMENTO E INSTALAÇÃO</v>
      </c>
      <c r="E88" s="76" t="str">
        <f>Planilha!E81</f>
        <v xml:space="preserve">UN </v>
      </c>
      <c r="F88" s="78"/>
      <c r="G88" s="79"/>
      <c r="H88" s="80"/>
      <c r="I88" s="170"/>
    </row>
    <row r="89" spans="1:9" x14ac:dyDescent="0.2">
      <c r="A89">
        <v>90</v>
      </c>
      <c r="C89" s="102" t="s">
        <v>101</v>
      </c>
      <c r="D89" s="102" t="s">
        <v>102</v>
      </c>
      <c r="E89" s="102" t="s">
        <v>80</v>
      </c>
      <c r="F89" s="68" t="s">
        <v>17</v>
      </c>
      <c r="G89" s="69" t="s">
        <v>81</v>
      </c>
      <c r="H89" s="69" t="s">
        <v>15</v>
      </c>
      <c r="I89" s="170"/>
    </row>
    <row r="90" spans="1:9" x14ac:dyDescent="0.2">
      <c r="A90">
        <v>91</v>
      </c>
      <c r="B90" s="222" t="s">
        <v>373</v>
      </c>
      <c r="C90" s="52">
        <v>93358</v>
      </c>
      <c r="D90" s="6" t="s">
        <v>229</v>
      </c>
      <c r="E90" s="285" t="s">
        <v>7</v>
      </c>
      <c r="F90" s="97">
        <f>(3.14159*0.3*0.3/4)*0.55*8</f>
        <v>0.31101699999999999</v>
      </c>
      <c r="G90" s="122">
        <v>89.55</v>
      </c>
      <c r="H90" s="46">
        <f t="shared" ref="H90:H95" si="5">ROUND(F90*G90,2)</f>
        <v>27.85</v>
      </c>
      <c r="I90" s="170"/>
    </row>
    <row r="91" spans="1:9" ht="39.75" customHeight="1" x14ac:dyDescent="0.2">
      <c r="A91">
        <v>92</v>
      </c>
      <c r="B91" s="222" t="s">
        <v>374</v>
      </c>
      <c r="C91" s="52" t="s">
        <v>430</v>
      </c>
      <c r="D91" s="6" t="s">
        <v>309</v>
      </c>
      <c r="E91" s="285" t="s">
        <v>6</v>
      </c>
      <c r="F91" s="97">
        <f>(0.1*0.5*4+0.1*0.1)*8</f>
        <v>1.68</v>
      </c>
      <c r="G91" s="122">
        <v>21.27</v>
      </c>
      <c r="H91" s="47">
        <f t="shared" si="5"/>
        <v>35.729999999999997</v>
      </c>
      <c r="I91" s="170"/>
    </row>
    <row r="92" spans="1:9" ht="25.5" x14ac:dyDescent="0.2">
      <c r="A92">
        <v>93</v>
      </c>
      <c r="B92" s="222" t="s">
        <v>373</v>
      </c>
      <c r="C92" s="52">
        <v>93382</v>
      </c>
      <c r="D92" s="6" t="s">
        <v>210</v>
      </c>
      <c r="E92" s="285" t="s">
        <v>7</v>
      </c>
      <c r="F92" s="97">
        <f>((3.14159*0.3*0.3/4)*0.4-0.1*0.1*0.4)*8</f>
        <v>0.19419400000000001</v>
      </c>
      <c r="G92" s="122">
        <v>28.28</v>
      </c>
      <c r="H92" s="46">
        <f t="shared" si="5"/>
        <v>5.49</v>
      </c>
      <c r="I92" s="170"/>
    </row>
    <row r="93" spans="1:9" ht="51" x14ac:dyDescent="0.2">
      <c r="A93">
        <v>94</v>
      </c>
      <c r="B93" s="222" t="s">
        <v>373</v>
      </c>
      <c r="C93" s="52">
        <v>105061</v>
      </c>
      <c r="D93" s="6" t="s">
        <v>305</v>
      </c>
      <c r="E93" s="285" t="s">
        <v>98</v>
      </c>
      <c r="F93" s="97">
        <f>(0.8+1.65)*4</f>
        <v>9.8000000000000007</v>
      </c>
      <c r="G93" s="122">
        <v>115.23</v>
      </c>
      <c r="H93" s="46">
        <f t="shared" si="5"/>
        <v>1129.25</v>
      </c>
      <c r="I93" s="170"/>
    </row>
    <row r="94" spans="1:9" ht="25.5" x14ac:dyDescent="0.2">
      <c r="A94">
        <v>95</v>
      </c>
      <c r="B94" s="222" t="s">
        <v>373</v>
      </c>
      <c r="C94" s="52">
        <v>4343</v>
      </c>
      <c r="D94" s="6" t="s">
        <v>171</v>
      </c>
      <c r="E94" s="285" t="s">
        <v>95</v>
      </c>
      <c r="F94" s="97">
        <v>28</v>
      </c>
      <c r="G94" s="122">
        <v>5.58</v>
      </c>
      <c r="H94" s="47">
        <f t="shared" si="5"/>
        <v>156.24</v>
      </c>
      <c r="I94" s="170"/>
    </row>
    <row r="95" spans="1:9" ht="38.25" x14ac:dyDescent="0.2">
      <c r="A95">
        <v>96</v>
      </c>
      <c r="B95" s="222" t="s">
        <v>371</v>
      </c>
      <c r="C95" s="52" t="s">
        <v>173</v>
      </c>
      <c r="D95" s="6" t="s">
        <v>170</v>
      </c>
      <c r="E95" s="285" t="s">
        <v>7</v>
      </c>
      <c r="F95" s="97">
        <f>((3.14159*0.3*0.3/4)*0.15-0.1*0.1*0.1)*8</f>
        <v>7.6823000000000002E-2</v>
      </c>
      <c r="G95" s="122">
        <v>776.63</v>
      </c>
      <c r="H95" s="46">
        <f t="shared" si="5"/>
        <v>59.66</v>
      </c>
      <c r="I95" s="170"/>
    </row>
    <row r="96" spans="1:9" ht="38.25" x14ac:dyDescent="0.2">
      <c r="A96">
        <v>97</v>
      </c>
      <c r="B96" s="222" t="s">
        <v>371</v>
      </c>
      <c r="C96" s="52" t="s">
        <v>300</v>
      </c>
      <c r="D96" s="6" t="s">
        <v>304</v>
      </c>
      <c r="E96" s="285" t="s">
        <v>6</v>
      </c>
      <c r="F96" s="97">
        <f>0.75*1.4*2+1*1.2</f>
        <v>3.3</v>
      </c>
      <c r="G96" s="122">
        <v>93.71</v>
      </c>
      <c r="H96" s="46">
        <f t="shared" ref="H96:H104" si="6">ROUND(F96*G96,2)</f>
        <v>309.24</v>
      </c>
      <c r="I96" s="170"/>
    </row>
    <row r="97" spans="1:9" ht="38.25" x14ac:dyDescent="0.2">
      <c r="A97">
        <v>98</v>
      </c>
      <c r="B97" s="222" t="s">
        <v>371</v>
      </c>
      <c r="C97" s="52" t="s">
        <v>301</v>
      </c>
      <c r="D97" s="6" t="s">
        <v>303</v>
      </c>
      <c r="E97" s="285" t="s">
        <v>6</v>
      </c>
      <c r="F97" s="97">
        <f>0.75*1.4*2+1*1.2</f>
        <v>3.3</v>
      </c>
      <c r="G97" s="122">
        <v>253.33</v>
      </c>
      <c r="H97" s="46">
        <f t="shared" si="6"/>
        <v>835.99</v>
      </c>
      <c r="I97" s="170"/>
    </row>
    <row r="98" spans="1:9" ht="38.25" x14ac:dyDescent="0.2">
      <c r="A98">
        <v>99</v>
      </c>
      <c r="B98" s="222" t="s">
        <v>373</v>
      </c>
      <c r="C98" s="52">
        <v>105086</v>
      </c>
      <c r="D98" s="6" t="s">
        <v>379</v>
      </c>
      <c r="E98" s="285" t="s">
        <v>98</v>
      </c>
      <c r="F98" s="97">
        <f>1.2*2</f>
        <v>2.4</v>
      </c>
      <c r="G98" s="122">
        <v>106.4</v>
      </c>
      <c r="H98" s="47">
        <f t="shared" si="6"/>
        <v>255.36</v>
      </c>
      <c r="I98" s="170"/>
    </row>
    <row r="99" spans="1:9" ht="26.25" customHeight="1" x14ac:dyDescent="0.2">
      <c r="A99">
        <v>100</v>
      </c>
      <c r="B99" s="222" t="s">
        <v>373</v>
      </c>
      <c r="C99" s="52">
        <v>105080</v>
      </c>
      <c r="D99" s="6" t="s">
        <v>308</v>
      </c>
      <c r="E99" s="285" t="s">
        <v>98</v>
      </c>
      <c r="F99" s="97">
        <f>1*2+1.4*4+0.8*2</f>
        <v>9.1999999999999993</v>
      </c>
      <c r="G99" s="122">
        <v>76.760000000000005</v>
      </c>
      <c r="H99" s="46">
        <f t="shared" si="6"/>
        <v>706.19</v>
      </c>
      <c r="I99" s="170"/>
    </row>
    <row r="100" spans="1:9" ht="25.5" x14ac:dyDescent="0.2">
      <c r="A100">
        <v>101</v>
      </c>
      <c r="B100" s="222" t="s">
        <v>377</v>
      </c>
      <c r="C100" s="52" t="s">
        <v>429</v>
      </c>
      <c r="D100" s="6" t="s">
        <v>385</v>
      </c>
      <c r="E100" s="285" t="s">
        <v>98</v>
      </c>
      <c r="F100" s="97">
        <f>F98*0.62+F93*0.4+F97</f>
        <v>8.7080000000000002</v>
      </c>
      <c r="G100" s="122">
        <v>3.67</v>
      </c>
      <c r="H100" s="47">
        <f t="shared" si="6"/>
        <v>31.96</v>
      </c>
      <c r="I100" s="170"/>
    </row>
    <row r="101" spans="1:9" ht="15" customHeight="1" x14ac:dyDescent="0.2">
      <c r="A101">
        <v>102</v>
      </c>
      <c r="B101" s="222" t="s">
        <v>373</v>
      </c>
      <c r="C101" s="52">
        <v>102234</v>
      </c>
      <c r="D101" s="6" t="s">
        <v>313</v>
      </c>
      <c r="E101" s="285" t="s">
        <v>6</v>
      </c>
      <c r="F101" s="97">
        <f>((0.1*4*0.5)+0.1*0.1)*8</f>
        <v>1.68</v>
      </c>
      <c r="G101" s="122">
        <v>23.86</v>
      </c>
      <c r="H101" s="46">
        <f t="shared" si="6"/>
        <v>40.08</v>
      </c>
      <c r="I101" s="170"/>
    </row>
    <row r="102" spans="1:9" ht="38.25" x14ac:dyDescent="0.2">
      <c r="A102">
        <v>103</v>
      </c>
      <c r="B102" s="222" t="s">
        <v>371</v>
      </c>
      <c r="C102" s="52" t="s">
        <v>360</v>
      </c>
      <c r="D102" s="6" t="s">
        <v>359</v>
      </c>
      <c r="E102" s="285" t="s">
        <v>6</v>
      </c>
      <c r="F102" s="97">
        <f>F93*0.4+F96+F97*2+F98*0.62+F99*0.36-F101</f>
        <v>16.940000000000001</v>
      </c>
      <c r="G102" s="122">
        <v>50.61</v>
      </c>
      <c r="H102" s="46">
        <f t="shared" si="6"/>
        <v>857.33</v>
      </c>
      <c r="I102" s="170"/>
    </row>
    <row r="103" spans="1:9" x14ac:dyDescent="0.2">
      <c r="A103">
        <v>105</v>
      </c>
      <c r="B103" s="222" t="s">
        <v>373</v>
      </c>
      <c r="C103" s="52">
        <v>88273</v>
      </c>
      <c r="D103" s="6" t="s">
        <v>311</v>
      </c>
      <c r="E103" s="285" t="s">
        <v>122</v>
      </c>
      <c r="F103" s="97">
        <v>12</v>
      </c>
      <c r="G103" s="122">
        <v>30.86</v>
      </c>
      <c r="H103" s="46">
        <f t="shared" si="6"/>
        <v>370.32</v>
      </c>
      <c r="I103" s="170"/>
    </row>
    <row r="104" spans="1:9" x14ac:dyDescent="0.2">
      <c r="A104">
        <v>106</v>
      </c>
      <c r="B104" s="222" t="s">
        <v>373</v>
      </c>
      <c r="C104" s="52">
        <v>88243</v>
      </c>
      <c r="D104" s="6" t="s">
        <v>312</v>
      </c>
      <c r="E104" s="285" t="s">
        <v>122</v>
      </c>
      <c r="F104" s="97">
        <v>12</v>
      </c>
      <c r="G104" s="122">
        <v>26.45</v>
      </c>
      <c r="H104" s="46">
        <f t="shared" si="6"/>
        <v>317.39999999999998</v>
      </c>
      <c r="I104" s="170"/>
    </row>
    <row r="105" spans="1:9" x14ac:dyDescent="0.2">
      <c r="A105">
        <v>107</v>
      </c>
      <c r="C105" s="52"/>
      <c r="D105" s="6"/>
      <c r="E105" s="96"/>
      <c r="F105" s="97"/>
      <c r="G105" s="122"/>
      <c r="H105" s="74">
        <f>SUM(H90:H104)</f>
        <v>5138.09</v>
      </c>
      <c r="I105" s="170"/>
    </row>
    <row r="106" spans="1:9" x14ac:dyDescent="0.2">
      <c r="A106">
        <v>108</v>
      </c>
      <c r="C106" s="52"/>
      <c r="D106" s="6"/>
      <c r="E106" s="96"/>
      <c r="F106" s="97"/>
      <c r="G106" s="122"/>
      <c r="H106" s="74"/>
      <c r="I106" s="170"/>
    </row>
    <row r="107" spans="1:9" ht="76.5" x14ac:dyDescent="0.2">
      <c r="A107">
        <v>109</v>
      </c>
      <c r="C107" s="76" t="str">
        <f>Planilha!C83</f>
        <v>CPU-010</v>
      </c>
      <c r="D107" s="204" t="str">
        <f>Planilha!D83</f>
        <v>TÚNEL PARA CÃES, COM TAMBOR PLÁSTICO DUPLO (VERDE OU AZUL), COM DIÂMETRO DE 0,55M  E COMPRIMENTO TOTAL IGUAL A 1,70M. COM QUADRO ESTRUTURADO EM MADEIRA CUMARU OU SIMILAR, CAIBRO APARELHADO, LARG. 5,0 X 5,0CM. COM PASSARELA EM TÁBUA DE MADEIRA DE LEI INTERNA PINTADA, LARG. DE 0,20M.</v>
      </c>
      <c r="E107" s="76" t="str">
        <f>Planilha!E83</f>
        <v>M</v>
      </c>
      <c r="F107" s="78"/>
      <c r="G107" s="79"/>
      <c r="H107" s="80"/>
      <c r="I107" s="170"/>
    </row>
    <row r="108" spans="1:9" x14ac:dyDescent="0.2">
      <c r="A108">
        <v>110</v>
      </c>
      <c r="C108" s="102" t="s">
        <v>101</v>
      </c>
      <c r="D108" s="102" t="s">
        <v>102</v>
      </c>
      <c r="E108" s="102" t="s">
        <v>80</v>
      </c>
      <c r="F108" s="68" t="s">
        <v>17</v>
      </c>
      <c r="G108" s="69" t="s">
        <v>81</v>
      </c>
      <c r="H108" s="69" t="s">
        <v>15</v>
      </c>
      <c r="I108" s="170"/>
    </row>
    <row r="109" spans="1:9" x14ac:dyDescent="0.2">
      <c r="A109">
        <v>111</v>
      </c>
      <c r="B109" s="222" t="s">
        <v>373</v>
      </c>
      <c r="C109" s="52">
        <v>93358</v>
      </c>
      <c r="D109" s="6" t="s">
        <v>229</v>
      </c>
      <c r="E109" s="285" t="s">
        <v>7</v>
      </c>
      <c r="F109" s="97">
        <f>(3.14159*0.4*0.4/4)*0.55*6</f>
        <v>0.41469</v>
      </c>
      <c r="G109" s="122">
        <v>89.55</v>
      </c>
      <c r="H109" s="46">
        <f t="shared" ref="H109:H118" si="7">ROUND(F109*G109,2)</f>
        <v>37.14</v>
      </c>
      <c r="I109" s="170"/>
    </row>
    <row r="110" spans="1:9" ht="39" customHeight="1" x14ac:dyDescent="0.2">
      <c r="A110">
        <v>112</v>
      </c>
      <c r="B110" s="222" t="s">
        <v>374</v>
      </c>
      <c r="C110" s="52" t="s">
        <v>430</v>
      </c>
      <c r="D110" s="6" t="s">
        <v>309</v>
      </c>
      <c r="E110" s="285" t="s">
        <v>6</v>
      </c>
      <c r="F110" s="97">
        <f>(3.14159*0.2*0.5+3.14159*0.2*0.2/4*1)*6</f>
        <v>2.0734490000000001</v>
      </c>
      <c r="G110" s="122">
        <v>21.27</v>
      </c>
      <c r="H110" s="47">
        <f t="shared" si="7"/>
        <v>44.1</v>
      </c>
      <c r="I110" s="170"/>
    </row>
    <row r="111" spans="1:9" ht="25.5" x14ac:dyDescent="0.2">
      <c r="A111">
        <v>113</v>
      </c>
      <c r="B111" s="222" t="s">
        <v>373</v>
      </c>
      <c r="C111" s="52">
        <v>93382</v>
      </c>
      <c r="D111" s="6" t="s">
        <v>210</v>
      </c>
      <c r="E111" s="285" t="s">
        <v>7</v>
      </c>
      <c r="F111" s="97">
        <f>((3.14159*0.4*0.4/4)-(0.1*0.1))*0.4*6</f>
        <v>0.27759299999999998</v>
      </c>
      <c r="G111" s="122">
        <v>28.28</v>
      </c>
      <c r="H111" s="46">
        <f t="shared" si="7"/>
        <v>7.85</v>
      </c>
      <c r="I111" s="170"/>
    </row>
    <row r="112" spans="1:9" ht="38.25" x14ac:dyDescent="0.2">
      <c r="A112">
        <v>114</v>
      </c>
      <c r="B112" s="222" t="s">
        <v>373</v>
      </c>
      <c r="C112" s="52">
        <v>105098</v>
      </c>
      <c r="D112" s="6" t="s">
        <v>307</v>
      </c>
      <c r="E112" s="285" t="s">
        <v>98</v>
      </c>
      <c r="F112" s="97">
        <f>0.6*2*3</f>
        <v>3.6</v>
      </c>
      <c r="G112" s="122">
        <v>78.959999999999994</v>
      </c>
      <c r="H112" s="46">
        <f t="shared" si="7"/>
        <v>284.26</v>
      </c>
      <c r="I112" s="170"/>
    </row>
    <row r="113" spans="1:9" ht="15" customHeight="1" x14ac:dyDescent="0.2">
      <c r="A113">
        <v>115</v>
      </c>
      <c r="B113" s="222" t="s">
        <v>373</v>
      </c>
      <c r="C113" s="52">
        <v>102234</v>
      </c>
      <c r="D113" s="6" t="s">
        <v>313</v>
      </c>
      <c r="E113" s="285" t="s">
        <v>6</v>
      </c>
      <c r="F113" s="97">
        <f>(3.14159*0.2*0.5+3.14159*0.2*0.2/4)*6</f>
        <v>2.0734490000000001</v>
      </c>
      <c r="G113" s="122">
        <v>23.76</v>
      </c>
      <c r="H113" s="46">
        <f t="shared" si="7"/>
        <v>49.27</v>
      </c>
      <c r="I113" s="170"/>
    </row>
    <row r="114" spans="1:9" ht="38.25" x14ac:dyDescent="0.2">
      <c r="C114" s="52" t="s">
        <v>360</v>
      </c>
      <c r="D114" s="6" t="s">
        <v>359</v>
      </c>
      <c r="E114" s="285" t="s">
        <v>6</v>
      </c>
      <c r="F114" s="97">
        <f>(3.14159*0.2*0.1+3.14159*0.2*0.2/4)*6</f>
        <v>0.56548600000000004</v>
      </c>
      <c r="G114" s="122">
        <v>50.61</v>
      </c>
      <c r="H114" s="47">
        <f t="shared" si="7"/>
        <v>28.62</v>
      </c>
      <c r="I114" s="170"/>
    </row>
    <row r="115" spans="1:9" ht="26.25" customHeight="1" x14ac:dyDescent="0.2">
      <c r="A115">
        <v>116</v>
      </c>
      <c r="B115" s="222" t="s">
        <v>373</v>
      </c>
      <c r="C115" s="52">
        <v>4299</v>
      </c>
      <c r="D115" s="6" t="s">
        <v>366</v>
      </c>
      <c r="E115" s="285" t="s">
        <v>95</v>
      </c>
      <c r="F115" s="97">
        <v>18</v>
      </c>
      <c r="G115" s="122">
        <v>1.85</v>
      </c>
      <c r="H115" s="46">
        <f t="shared" si="7"/>
        <v>33.299999999999997</v>
      </c>
      <c r="I115" s="170"/>
    </row>
    <row r="116" spans="1:9" ht="66.75" customHeight="1" x14ac:dyDescent="0.2">
      <c r="A116">
        <v>117</v>
      </c>
      <c r="B116" s="222" t="s">
        <v>378</v>
      </c>
      <c r="C116" s="52" t="s">
        <v>367</v>
      </c>
      <c r="D116" s="6" t="s">
        <v>365</v>
      </c>
      <c r="E116" s="285" t="s">
        <v>95</v>
      </c>
      <c r="F116" s="97">
        <v>2</v>
      </c>
      <c r="G116" s="122">
        <f>1100+350</f>
        <v>1450</v>
      </c>
      <c r="H116" s="46">
        <f t="shared" si="7"/>
        <v>2900</v>
      </c>
      <c r="I116" s="170"/>
    </row>
    <row r="117" spans="1:9" x14ac:dyDescent="0.2">
      <c r="A117">
        <v>118</v>
      </c>
      <c r="B117" s="222" t="s">
        <v>373</v>
      </c>
      <c r="C117" s="52">
        <v>88273</v>
      </c>
      <c r="D117" s="6" t="s">
        <v>311</v>
      </c>
      <c r="E117" s="285" t="s">
        <v>122</v>
      </c>
      <c r="F117" s="97">
        <v>2</v>
      </c>
      <c r="G117" s="122">
        <v>30.86</v>
      </c>
      <c r="H117" s="46">
        <f t="shared" si="7"/>
        <v>61.72</v>
      </c>
      <c r="I117" s="170"/>
    </row>
    <row r="118" spans="1:9" ht="14.25" customHeight="1" x14ac:dyDescent="0.2">
      <c r="A118">
        <v>119</v>
      </c>
      <c r="B118" s="222" t="s">
        <v>373</v>
      </c>
      <c r="C118" s="52">
        <v>101395</v>
      </c>
      <c r="D118" s="6" t="s">
        <v>364</v>
      </c>
      <c r="E118" s="285" t="s">
        <v>122</v>
      </c>
      <c r="F118" s="97">
        <f>2/220</f>
        <v>9.0910000000000001E-3</v>
      </c>
      <c r="G118" s="122">
        <v>4455.37</v>
      </c>
      <c r="H118" s="46">
        <f t="shared" si="7"/>
        <v>40.5</v>
      </c>
      <c r="I118" s="170"/>
    </row>
    <row r="119" spans="1:9" x14ac:dyDescent="0.2">
      <c r="A119">
        <v>120</v>
      </c>
      <c r="C119" s="52"/>
      <c r="D119" s="6"/>
      <c r="E119" s="96"/>
      <c r="F119" s="97"/>
      <c r="G119" s="122"/>
      <c r="H119" s="74">
        <f>SUM(H109:H118)</f>
        <v>3486.76</v>
      </c>
      <c r="I119" s="170"/>
    </row>
    <row r="120" spans="1:9" x14ac:dyDescent="0.2">
      <c r="A120">
        <v>121</v>
      </c>
      <c r="C120" s="52"/>
      <c r="D120" s="6"/>
      <c r="E120" s="96"/>
      <c r="F120" s="97"/>
      <c r="G120" s="122"/>
      <c r="H120" s="74"/>
      <c r="I120" s="170"/>
    </row>
    <row r="121" spans="1:9" ht="105" customHeight="1" x14ac:dyDescent="0.2">
      <c r="A121">
        <v>122</v>
      </c>
      <c r="C121" s="76" t="str">
        <f>Planilha!C84</f>
        <v>CPU-011</v>
      </c>
      <c r="D121" s="204" t="str">
        <f>Planilha!D84</f>
        <v xml:space="preserve">ARGOLA DE SALTO DE MADEIRA CUMARU OU SIMILAR, APARELHADA, IMUNIZADA E ENVERNIZADA, COM 2,0M DE LARGURA E 1,55M DE ALTURA. PILAR E VIGA COM DIMENSÕES 10X10CM, APARELHADA, COM QUINAS BAULADAS. ARGOLA EM TUBO DE AÇO GALNANIZADO, DI=50MM E ESP.=3,00MM, FIXADA COM CORRENTE GALVANIZADA ELO CURTO, ESP.= 6,0MM, COM PINTURA ESMALTE  FUNDO ANTICORROSIVO. INCLUSIVE ESCAVAÇÃO, CONCRETAGEM E REATERRO DE FUNDAÇÕES. </v>
      </c>
      <c r="E121" s="76" t="str">
        <f>Planilha!E84</f>
        <v xml:space="preserve">UN </v>
      </c>
      <c r="F121" s="78"/>
      <c r="G121" s="79"/>
      <c r="H121" s="80"/>
      <c r="I121" s="170"/>
    </row>
    <row r="122" spans="1:9" x14ac:dyDescent="0.2">
      <c r="A122">
        <v>123</v>
      </c>
      <c r="C122" s="102" t="s">
        <v>101</v>
      </c>
      <c r="D122" s="102" t="s">
        <v>102</v>
      </c>
      <c r="E122" s="102" t="s">
        <v>80</v>
      </c>
      <c r="F122" s="68" t="s">
        <v>17</v>
      </c>
      <c r="G122" s="69" t="s">
        <v>81</v>
      </c>
      <c r="H122" s="69" t="s">
        <v>15</v>
      </c>
      <c r="I122" s="170"/>
    </row>
    <row r="123" spans="1:9" x14ac:dyDescent="0.2">
      <c r="A123">
        <v>124</v>
      </c>
      <c r="B123" s="222" t="s">
        <v>373</v>
      </c>
      <c r="C123" s="52">
        <v>93358</v>
      </c>
      <c r="D123" s="6" t="s">
        <v>229</v>
      </c>
      <c r="E123" s="285" t="s">
        <v>7</v>
      </c>
      <c r="F123" s="97">
        <f>(3.14159*0.4*0.4/4)*0.55*2</f>
        <v>0.13822999999999999</v>
      </c>
      <c r="G123" s="122">
        <v>89.55</v>
      </c>
      <c r="H123" s="46">
        <f t="shared" ref="H123:H139" si="8">ROUND(F123*G123,2)</f>
        <v>12.38</v>
      </c>
      <c r="I123" s="170"/>
    </row>
    <row r="124" spans="1:9" ht="41.25" customHeight="1" x14ac:dyDescent="0.2">
      <c r="A124">
        <v>125</v>
      </c>
      <c r="B124" s="222" t="s">
        <v>374</v>
      </c>
      <c r="C124" s="52" t="s">
        <v>430</v>
      </c>
      <c r="D124" s="6" t="s">
        <v>309</v>
      </c>
      <c r="E124" s="285" t="s">
        <v>6</v>
      </c>
      <c r="F124" s="97">
        <f>(0.1*0.5*4+0.1+0.1)*2</f>
        <v>0.8</v>
      </c>
      <c r="G124" s="122">
        <v>21.27</v>
      </c>
      <c r="H124" s="47">
        <f t="shared" si="8"/>
        <v>17.02</v>
      </c>
      <c r="I124" s="170" t="s">
        <v>290</v>
      </c>
    </row>
    <row r="125" spans="1:9" ht="25.5" x14ac:dyDescent="0.2">
      <c r="A125">
        <v>126</v>
      </c>
      <c r="B125" s="222" t="s">
        <v>373</v>
      </c>
      <c r="C125" s="52">
        <v>93382</v>
      </c>
      <c r="D125" s="6" t="s">
        <v>210</v>
      </c>
      <c r="E125" s="285" t="s">
        <v>7</v>
      </c>
      <c r="F125" s="97">
        <f>((3.14159*0.4*0.4/4)-(0.1*0.1))*0.4*2</f>
        <v>9.2531000000000002E-2</v>
      </c>
      <c r="G125" s="122">
        <v>28.28</v>
      </c>
      <c r="H125" s="46">
        <f t="shared" si="8"/>
        <v>2.62</v>
      </c>
      <c r="I125" s="170"/>
    </row>
    <row r="126" spans="1:9" ht="51" x14ac:dyDescent="0.2">
      <c r="A126">
        <v>127</v>
      </c>
      <c r="B126" s="222" t="s">
        <v>373</v>
      </c>
      <c r="C126" s="52">
        <v>105061</v>
      </c>
      <c r="D126" s="6" t="s">
        <v>384</v>
      </c>
      <c r="E126" s="285" t="s">
        <v>98</v>
      </c>
      <c r="F126" s="97">
        <f>2.05*2+2</f>
        <v>6.1</v>
      </c>
      <c r="G126" s="122">
        <v>115.23</v>
      </c>
      <c r="H126" s="46">
        <f t="shared" si="8"/>
        <v>702.9</v>
      </c>
      <c r="I126" s="170"/>
    </row>
    <row r="127" spans="1:9" ht="38.25" x14ac:dyDescent="0.2">
      <c r="A127">
        <v>128</v>
      </c>
      <c r="B127" s="222" t="s">
        <v>371</v>
      </c>
      <c r="C127" s="52" t="s">
        <v>173</v>
      </c>
      <c r="D127" s="6" t="s">
        <v>170</v>
      </c>
      <c r="E127" s="285" t="s">
        <v>7</v>
      </c>
      <c r="F127" s="97">
        <f>((3.14159*0.4*0.4/4)*0.15-(0.1*0.1)*0.1)*2</f>
        <v>3.5699000000000002E-2</v>
      </c>
      <c r="G127" s="122">
        <v>776.63</v>
      </c>
      <c r="H127" s="46">
        <f t="shared" si="8"/>
        <v>27.72</v>
      </c>
      <c r="I127" s="170"/>
    </row>
    <row r="128" spans="1:9" ht="25.5" x14ac:dyDescent="0.2">
      <c r="A128">
        <v>129</v>
      </c>
      <c r="B128" s="222" t="s">
        <v>377</v>
      </c>
      <c r="C128" s="52" t="s">
        <v>429</v>
      </c>
      <c r="D128" s="6" t="s">
        <v>385</v>
      </c>
      <c r="E128" s="285" t="s">
        <v>98</v>
      </c>
      <c r="F128" s="97">
        <f>F126</f>
        <v>6.1</v>
      </c>
      <c r="G128" s="122">
        <v>3.67</v>
      </c>
      <c r="H128" s="47">
        <f t="shared" si="8"/>
        <v>22.39</v>
      </c>
      <c r="I128" s="170"/>
    </row>
    <row r="129" spans="1:9" ht="15.75" customHeight="1" x14ac:dyDescent="0.2">
      <c r="A129">
        <v>130</v>
      </c>
      <c r="B129" s="222" t="s">
        <v>373</v>
      </c>
      <c r="C129" s="52">
        <v>102234</v>
      </c>
      <c r="D129" s="6" t="s">
        <v>313</v>
      </c>
      <c r="E129" s="285" t="s">
        <v>6</v>
      </c>
      <c r="F129" s="97">
        <f>(0.1*0.4*4+0.1*0.1)*2</f>
        <v>0.34</v>
      </c>
      <c r="G129" s="122">
        <v>23.76</v>
      </c>
      <c r="H129" s="46">
        <f t="shared" si="8"/>
        <v>8.08</v>
      </c>
      <c r="I129" s="170"/>
    </row>
    <row r="130" spans="1:9" ht="38.25" x14ac:dyDescent="0.2">
      <c r="A130">
        <v>131</v>
      </c>
      <c r="B130" s="222" t="s">
        <v>371</v>
      </c>
      <c r="C130" s="52" t="s">
        <v>360</v>
      </c>
      <c r="D130" s="6" t="s">
        <v>359</v>
      </c>
      <c r="E130" s="285" t="s">
        <v>6</v>
      </c>
      <c r="F130" s="97">
        <f>0.1*1.55*4*2+0.1*2*4</f>
        <v>2.04</v>
      </c>
      <c r="G130" s="122">
        <v>50.68</v>
      </c>
      <c r="H130" s="46">
        <f t="shared" si="8"/>
        <v>103.39</v>
      </c>
      <c r="I130" s="170"/>
    </row>
    <row r="131" spans="1:9" ht="25.5" x14ac:dyDescent="0.2">
      <c r="A131">
        <v>132</v>
      </c>
      <c r="B131" s="222" t="s">
        <v>373</v>
      </c>
      <c r="C131" s="52">
        <v>4343</v>
      </c>
      <c r="D131" s="6" t="s">
        <v>171</v>
      </c>
      <c r="E131" s="285" t="s">
        <v>95</v>
      </c>
      <c r="F131" s="97">
        <v>4</v>
      </c>
      <c r="G131" s="122">
        <v>5.58</v>
      </c>
      <c r="H131" s="46">
        <f t="shared" si="8"/>
        <v>22.32</v>
      </c>
      <c r="I131" s="170"/>
    </row>
    <row r="132" spans="1:9" ht="51" x14ac:dyDescent="0.2">
      <c r="A132">
        <v>133</v>
      </c>
      <c r="B132" s="222" t="s">
        <v>371</v>
      </c>
      <c r="C132" s="52" t="s">
        <v>358</v>
      </c>
      <c r="D132" s="6" t="s">
        <v>356</v>
      </c>
      <c r="E132" s="285" t="s">
        <v>95</v>
      </c>
      <c r="F132" s="97">
        <v>4</v>
      </c>
      <c r="G132" s="122">
        <v>5.17</v>
      </c>
      <c r="H132" s="47">
        <f t="shared" si="8"/>
        <v>20.68</v>
      </c>
      <c r="I132" s="170"/>
    </row>
    <row r="133" spans="1:9" ht="25.5" x14ac:dyDescent="0.2">
      <c r="A133">
        <v>134</v>
      </c>
      <c r="B133" s="222" t="s">
        <v>377</v>
      </c>
      <c r="C133" s="52" t="s">
        <v>431</v>
      </c>
      <c r="D133" s="6" t="s">
        <v>386</v>
      </c>
      <c r="E133" s="285" t="s">
        <v>98</v>
      </c>
      <c r="F133" s="97">
        <f>0.65*4</f>
        <v>2.6</v>
      </c>
      <c r="G133" s="122">
        <v>24.74</v>
      </c>
      <c r="H133" s="46">
        <f t="shared" si="8"/>
        <v>64.319999999999993</v>
      </c>
      <c r="I133" s="170" t="s">
        <v>289</v>
      </c>
    </row>
    <row r="134" spans="1:9" ht="25.5" x14ac:dyDescent="0.2">
      <c r="A134">
        <v>135</v>
      </c>
      <c r="B134" s="222" t="s">
        <v>373</v>
      </c>
      <c r="C134" s="52">
        <v>21013</v>
      </c>
      <c r="D134" s="6" t="s">
        <v>352</v>
      </c>
      <c r="E134" s="285" t="s">
        <v>98</v>
      </c>
      <c r="F134" s="97">
        <f>ROUND(3.14159*0.9,2)</f>
        <v>2.83</v>
      </c>
      <c r="G134" s="122">
        <v>76.150000000000006</v>
      </c>
      <c r="H134" s="46">
        <f t="shared" si="8"/>
        <v>215.5</v>
      </c>
      <c r="I134" s="170"/>
    </row>
    <row r="135" spans="1:9" ht="26.25" customHeight="1" x14ac:dyDescent="0.2">
      <c r="A135">
        <v>136</v>
      </c>
      <c r="B135" s="222" t="s">
        <v>371</v>
      </c>
      <c r="C135" s="52" t="s">
        <v>362</v>
      </c>
      <c r="D135" s="6" t="s">
        <v>361</v>
      </c>
      <c r="E135" s="285" t="s">
        <v>6</v>
      </c>
      <c r="F135" s="97">
        <f>1.45*1.8</f>
        <v>2.61</v>
      </c>
      <c r="G135" s="122">
        <v>34.99</v>
      </c>
      <c r="H135" s="46">
        <f t="shared" si="8"/>
        <v>91.32</v>
      </c>
      <c r="I135" s="170"/>
    </row>
    <row r="136" spans="1:9" ht="25.5" x14ac:dyDescent="0.2">
      <c r="A136">
        <v>137</v>
      </c>
      <c r="B136" s="222" t="s">
        <v>375</v>
      </c>
      <c r="C136" s="52" t="s">
        <v>432</v>
      </c>
      <c r="D136" s="6" t="s">
        <v>353</v>
      </c>
      <c r="E136" s="285" t="s">
        <v>55</v>
      </c>
      <c r="F136" s="97">
        <f>4/220</f>
        <v>1.8182E-2</v>
      </c>
      <c r="G136" s="122">
        <v>4913.92</v>
      </c>
      <c r="H136" s="47">
        <f t="shared" si="8"/>
        <v>89.34</v>
      </c>
      <c r="I136" s="170" t="s">
        <v>287</v>
      </c>
    </row>
    <row r="137" spans="1:9" ht="14.25" customHeight="1" x14ac:dyDescent="0.2">
      <c r="A137">
        <v>138</v>
      </c>
      <c r="B137" s="222" t="s">
        <v>373</v>
      </c>
      <c r="C137" s="52">
        <v>88251</v>
      </c>
      <c r="D137" s="6" t="s">
        <v>354</v>
      </c>
      <c r="E137" s="285" t="s">
        <v>122</v>
      </c>
      <c r="F137" s="97">
        <v>2</v>
      </c>
      <c r="G137" s="122">
        <v>25.02</v>
      </c>
      <c r="H137" s="46">
        <f t="shared" si="8"/>
        <v>50.04</v>
      </c>
      <c r="I137" s="170"/>
    </row>
    <row r="138" spans="1:9" x14ac:dyDescent="0.2">
      <c r="A138">
        <v>139</v>
      </c>
      <c r="B138" s="222" t="s">
        <v>373</v>
      </c>
      <c r="C138" s="52">
        <v>88315</v>
      </c>
      <c r="D138" s="6" t="s">
        <v>355</v>
      </c>
      <c r="E138" s="285" t="s">
        <v>122</v>
      </c>
      <c r="F138" s="97">
        <v>2</v>
      </c>
      <c r="G138" s="122">
        <v>30.97</v>
      </c>
      <c r="H138" s="46">
        <f t="shared" si="8"/>
        <v>61.94</v>
      </c>
      <c r="I138" s="170"/>
    </row>
    <row r="139" spans="1:9" x14ac:dyDescent="0.2">
      <c r="A139">
        <v>140</v>
      </c>
      <c r="B139" s="222" t="s">
        <v>373</v>
      </c>
      <c r="C139" s="52">
        <v>88273</v>
      </c>
      <c r="D139" s="6" t="s">
        <v>311</v>
      </c>
      <c r="E139" s="285" t="s">
        <v>122</v>
      </c>
      <c r="F139" s="97">
        <v>2</v>
      </c>
      <c r="G139" s="122">
        <v>30.86</v>
      </c>
      <c r="H139" s="46">
        <f t="shared" si="8"/>
        <v>61.72</v>
      </c>
      <c r="I139" s="170"/>
    </row>
    <row r="140" spans="1:9" x14ac:dyDescent="0.2">
      <c r="A140">
        <v>141</v>
      </c>
      <c r="C140" s="5"/>
      <c r="D140" s="9"/>
      <c r="E140" s="96"/>
      <c r="F140" s="205"/>
      <c r="G140" s="98"/>
      <c r="H140" s="74">
        <f>SUM(H123:H139)</f>
        <v>1573.68</v>
      </c>
      <c r="I140" s="170"/>
    </row>
    <row r="141" spans="1:9" x14ac:dyDescent="0.2">
      <c r="A141">
        <v>142</v>
      </c>
      <c r="C141" s="159"/>
      <c r="D141" s="160"/>
      <c r="E141" s="161"/>
      <c r="F141" s="221"/>
      <c r="G141" s="162"/>
      <c r="H141" s="95"/>
      <c r="I141" s="170"/>
    </row>
    <row r="142" spans="1:9" x14ac:dyDescent="0.2">
      <c r="A142">
        <v>143</v>
      </c>
      <c r="C142" s="76" t="str">
        <f>Planilha!C71</f>
        <v>CPU-012</v>
      </c>
      <c r="D142" s="204" t="str">
        <f>Planilha!D71</f>
        <v>ARBUSTO H=0.60 A 0.80M - AMETISTA</v>
      </c>
      <c r="E142" s="76" t="str">
        <f>Planilha!E71</f>
        <v xml:space="preserve">UN </v>
      </c>
      <c r="F142" s="78"/>
      <c r="G142" s="79"/>
      <c r="H142" s="80"/>
      <c r="I142" s="170"/>
    </row>
    <row r="143" spans="1:9" x14ac:dyDescent="0.2">
      <c r="A143">
        <v>144</v>
      </c>
      <c r="C143" s="102" t="s">
        <v>101</v>
      </c>
      <c r="D143" s="102" t="s">
        <v>102</v>
      </c>
      <c r="E143" s="102" t="s">
        <v>80</v>
      </c>
      <c r="F143" s="68" t="s">
        <v>17</v>
      </c>
      <c r="G143" s="69" t="s">
        <v>81</v>
      </c>
      <c r="H143" s="69" t="s">
        <v>15</v>
      </c>
      <c r="I143" s="170"/>
    </row>
    <row r="144" spans="1:9" ht="24.75" customHeight="1" x14ac:dyDescent="0.2">
      <c r="A144">
        <v>145</v>
      </c>
      <c r="B144" s="222" t="s">
        <v>376</v>
      </c>
      <c r="C144" s="52" t="s">
        <v>433</v>
      </c>
      <c r="D144" s="6" t="s">
        <v>369</v>
      </c>
      <c r="E144" s="96" t="s">
        <v>95</v>
      </c>
      <c r="F144" s="97">
        <v>1</v>
      </c>
      <c r="G144" s="122">
        <v>53.86</v>
      </c>
      <c r="H144" s="47">
        <f>ROUND(F144*G144,2)</f>
        <v>53.86</v>
      </c>
      <c r="I144" s="170"/>
    </row>
    <row r="145" spans="3:9" x14ac:dyDescent="0.2">
      <c r="C145" s="159"/>
      <c r="D145" s="160"/>
      <c r="E145" s="161"/>
      <c r="F145" s="221"/>
      <c r="G145" s="162"/>
      <c r="H145" s="95"/>
      <c r="I145" s="170"/>
    </row>
    <row r="146" spans="3:9" ht="37.5" customHeight="1" x14ac:dyDescent="0.2">
      <c r="C146" s="75"/>
      <c r="D146" s="75"/>
      <c r="E146" s="75"/>
      <c r="F146" s="75"/>
      <c r="G146" s="75"/>
      <c r="H146" s="75"/>
      <c r="I146" s="176"/>
    </row>
    <row r="147" spans="3:9" ht="13.5" customHeight="1" x14ac:dyDescent="0.2">
      <c r="D147" s="355"/>
      <c r="E147" s="355"/>
      <c r="F147" s="62"/>
      <c r="G147" s="286" t="s">
        <v>436</v>
      </c>
    </row>
    <row r="148" spans="3:9" ht="10.5" customHeight="1" x14ac:dyDescent="0.2">
      <c r="D148" s="396" t="s">
        <v>450</v>
      </c>
      <c r="E148" s="396"/>
      <c r="F148" s="62"/>
      <c r="G148" s="116" t="s">
        <v>89</v>
      </c>
    </row>
  </sheetData>
  <autoFilter ref="I10:I148"/>
  <mergeCells count="16">
    <mergeCell ref="C41:H41"/>
    <mergeCell ref="C16:H16"/>
    <mergeCell ref="C27:H27"/>
    <mergeCell ref="D147:E147"/>
    <mergeCell ref="D148:E148"/>
    <mergeCell ref="C17:H17"/>
    <mergeCell ref="C8:H8"/>
    <mergeCell ref="C4:H4"/>
    <mergeCell ref="C7:D7"/>
    <mergeCell ref="E7:F7"/>
    <mergeCell ref="G7:H7"/>
    <mergeCell ref="C1:H1"/>
    <mergeCell ref="C2:H2"/>
    <mergeCell ref="C3:H3"/>
    <mergeCell ref="C5:H5"/>
    <mergeCell ref="C6:H6"/>
  </mergeCells>
  <phoneticPr fontId="4" type="noConversion"/>
  <printOptions horizontalCentered="1"/>
  <pageMargins left="0.70866141732283472" right="0.70866141732283472" top="0.74803149606299213" bottom="0.74803149606299213" header="0.31496062992125984" footer="0.31496062992125984"/>
  <pageSetup paperSize="9" scale="96" fitToHeight="0" orientation="portrait" r:id="rId1"/>
  <headerFooter>
    <oddFooter>&amp;C&amp;P/&amp;N</oddFooter>
  </headerFooter>
  <rowBreaks count="2" manualBreakCount="2">
    <brk id="32" min="2" max="7" man="1"/>
    <brk id="65" min="2"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8"/>
  <sheetViews>
    <sheetView view="pageBreakPreview" topLeftCell="C1" zoomScaleSheetLayoutView="100" workbookViewId="0">
      <selection activeCell="D28" sqref="D28"/>
    </sheetView>
  </sheetViews>
  <sheetFormatPr defaultRowHeight="12.75" x14ac:dyDescent="0.2"/>
  <cols>
    <col min="1" max="1" width="0" hidden="1" customWidth="1"/>
    <col min="2" max="2" width="0" style="222" hidden="1" customWidth="1"/>
    <col min="3" max="3" width="8" customWidth="1"/>
    <col min="4" max="4" width="45.28515625" customWidth="1"/>
    <col min="5" max="6" width="7.28515625" customWidth="1"/>
    <col min="7" max="8" width="14.7109375" customWidth="1"/>
    <col min="9" max="9" width="12.42578125" style="177" customWidth="1"/>
    <col min="10" max="10" width="10.85546875" customWidth="1"/>
    <col min="11" max="11" width="11.28515625" style="196" bestFit="1" customWidth="1"/>
  </cols>
  <sheetData>
    <row r="1" spans="1:11" ht="56.25" customHeight="1" x14ac:dyDescent="0.2">
      <c r="C1" s="382"/>
      <c r="D1" s="382"/>
      <c r="E1" s="382"/>
      <c r="F1" s="382"/>
      <c r="G1" s="382"/>
      <c r="H1" s="382"/>
      <c r="I1" s="165"/>
      <c r="J1" s="59"/>
      <c r="K1" s="59"/>
    </row>
    <row r="2" spans="1:11" ht="5.25" customHeight="1" x14ac:dyDescent="0.2">
      <c r="C2" s="344"/>
      <c r="D2" s="344"/>
      <c r="E2" s="344"/>
      <c r="F2" s="344"/>
      <c r="G2" s="344"/>
      <c r="H2" s="344"/>
      <c r="I2" s="166"/>
      <c r="J2" s="59"/>
      <c r="K2" s="59"/>
    </row>
    <row r="3" spans="1:11" ht="20.100000000000001" customHeight="1" x14ac:dyDescent="0.2">
      <c r="C3" s="383" t="s">
        <v>421</v>
      </c>
      <c r="D3" s="384"/>
      <c r="E3" s="384"/>
      <c r="F3" s="384"/>
      <c r="G3" s="384"/>
      <c r="H3" s="385"/>
      <c r="I3" s="166"/>
      <c r="J3" s="60"/>
      <c r="K3" s="60"/>
    </row>
    <row r="4" spans="1:11" ht="5.25" customHeight="1" x14ac:dyDescent="0.2">
      <c r="C4" s="344"/>
      <c r="D4" s="344"/>
      <c r="E4" s="344"/>
      <c r="F4" s="344"/>
      <c r="G4" s="344"/>
      <c r="H4" s="344"/>
      <c r="I4" s="166"/>
      <c r="J4" s="60"/>
      <c r="K4" s="60"/>
    </row>
    <row r="5" spans="1:11" ht="18" customHeight="1" x14ac:dyDescent="0.2">
      <c r="C5" s="386" t="str">
        <f>Planilha!A5</f>
        <v>OBRA: PROJETO DO ESPAÇO DE LAZER E ESTACIONAMENTO NO PARQUE DO AREÃO</v>
      </c>
      <c r="D5" s="387"/>
      <c r="E5" s="387"/>
      <c r="F5" s="387"/>
      <c r="G5" s="387"/>
      <c r="H5" s="388"/>
      <c r="I5" s="167"/>
      <c r="J5" s="61"/>
    </row>
    <row r="6" spans="1:11" ht="18" customHeight="1" x14ac:dyDescent="0.2">
      <c r="C6" s="389" t="str">
        <f>Planilha!A6</f>
        <v>LOCAL: RUA ANTÔNIO LOUREIRO SOBRINHO, S/Nº - B. LUCÍLIA, JOÃO MONLEVADE</v>
      </c>
      <c r="D6" s="389"/>
      <c r="E6" s="389"/>
      <c r="F6" s="389"/>
      <c r="G6" s="389"/>
      <c r="H6" s="389"/>
      <c r="I6" s="167"/>
      <c r="J6" s="61"/>
    </row>
    <row r="7" spans="1:11" ht="6.75" customHeight="1" x14ac:dyDescent="0.2">
      <c r="C7" s="390"/>
      <c r="D7" s="391"/>
      <c r="E7" s="391"/>
      <c r="F7" s="391"/>
      <c r="G7" s="391"/>
      <c r="H7" s="392"/>
      <c r="I7" s="168"/>
      <c r="J7" s="61"/>
    </row>
    <row r="8" spans="1:11" x14ac:dyDescent="0.2">
      <c r="C8" s="102"/>
      <c r="D8" s="102" t="s">
        <v>425</v>
      </c>
      <c r="E8" s="400" t="s">
        <v>426</v>
      </c>
      <c r="F8" s="401"/>
      <c r="G8" s="404" t="s">
        <v>427</v>
      </c>
      <c r="H8" s="405"/>
      <c r="I8" s="168"/>
      <c r="J8" s="61"/>
    </row>
    <row r="9" spans="1:11" ht="14.25" x14ac:dyDescent="0.25">
      <c r="C9" s="102"/>
      <c r="D9" s="6" t="s">
        <v>422</v>
      </c>
      <c r="E9" s="400" t="s">
        <v>423</v>
      </c>
      <c r="F9" s="401"/>
      <c r="G9" s="402" t="s">
        <v>424</v>
      </c>
      <c r="H9" s="403"/>
      <c r="I9" s="168"/>
      <c r="J9" s="61"/>
    </row>
    <row r="10" spans="1:11" x14ac:dyDescent="0.2">
      <c r="C10" s="102"/>
      <c r="D10" s="102"/>
      <c r="E10" s="102"/>
      <c r="F10" s="68"/>
      <c r="G10" s="69"/>
      <c r="H10" s="69"/>
      <c r="I10" s="168"/>
      <c r="J10" s="61"/>
    </row>
    <row r="11" spans="1:11" x14ac:dyDescent="0.2">
      <c r="C11" s="63" t="s">
        <v>0</v>
      </c>
      <c r="D11" s="63" t="s">
        <v>1</v>
      </c>
      <c r="E11" s="63" t="s">
        <v>80</v>
      </c>
      <c r="F11" s="64"/>
      <c r="G11" s="65"/>
      <c r="H11" s="66"/>
      <c r="I11" s="168"/>
    </row>
    <row r="12" spans="1:11" ht="63.75" x14ac:dyDescent="0.2">
      <c r="A12">
        <v>1</v>
      </c>
      <c r="C12" s="76" t="str">
        <f>'Composição de custos'!C116</f>
        <v>COT-001</v>
      </c>
      <c r="D12" s="77" t="str">
        <f>'Composição de custos'!D116</f>
        <v>TAMBOR PLÁSTICO PETPLACE VERDE OU AZUL, COM DIÂMETRO DE 0,55M  E COMPRIM. 0,85M. COM QUADRO ESTRUTURADO EM MADEIRA CUMARU OU SIMILAR, CAIBRO APARELHADO, LARG. 5,0 X 5,0CM. COM PASSARELA EM TÁBUA DE MADEIRA DE LEI INTERNA PINTADA, LARG. DE 0,20M.</v>
      </c>
      <c r="E12" s="77" t="str">
        <f>'Composição de custos'!E116</f>
        <v xml:space="preserve">UN </v>
      </c>
      <c r="F12" s="78"/>
      <c r="G12" s="79"/>
      <c r="H12" s="80"/>
      <c r="I12" s="168"/>
    </row>
    <row r="13" spans="1:11" x14ac:dyDescent="0.2">
      <c r="A13">
        <v>2</v>
      </c>
      <c r="C13" s="102" t="s">
        <v>2</v>
      </c>
      <c r="D13" s="102" t="s">
        <v>1</v>
      </c>
      <c r="E13" s="102" t="s">
        <v>80</v>
      </c>
      <c r="F13" s="68" t="s">
        <v>17</v>
      </c>
      <c r="G13" s="69" t="s">
        <v>81</v>
      </c>
      <c r="H13" s="69" t="s">
        <v>15</v>
      </c>
      <c r="I13" s="164"/>
    </row>
    <row r="14" spans="1:11" x14ac:dyDescent="0.2">
      <c r="A14">
        <v>3</v>
      </c>
      <c r="C14" s="102"/>
      <c r="D14" s="102"/>
      <c r="E14" s="102"/>
      <c r="F14" s="68"/>
      <c r="G14" s="69"/>
      <c r="H14" s="69"/>
      <c r="I14" s="164"/>
    </row>
    <row r="15" spans="1:11" x14ac:dyDescent="0.2">
      <c r="A15">
        <v>4</v>
      </c>
      <c r="B15" s="222" t="s">
        <v>371</v>
      </c>
      <c r="C15" s="52">
        <v>1</v>
      </c>
      <c r="D15" s="6" t="s">
        <v>422</v>
      </c>
      <c r="E15" s="48" t="s">
        <v>95</v>
      </c>
      <c r="F15" s="225">
        <v>1</v>
      </c>
      <c r="G15" s="47">
        <f>(2200+700)/2</f>
        <v>1450</v>
      </c>
      <c r="H15" s="46">
        <f>ROUND(F15*G15,2)</f>
        <v>1450</v>
      </c>
      <c r="I15" s="173"/>
    </row>
    <row r="16" spans="1:11" x14ac:dyDescent="0.2">
      <c r="A16">
        <v>6</v>
      </c>
      <c r="C16" s="70"/>
      <c r="D16" s="70"/>
      <c r="E16" s="70"/>
      <c r="F16" s="72"/>
      <c r="G16" s="73"/>
      <c r="H16" s="74">
        <f>SUBTOTAL(9,H15:H15)</f>
        <v>1450</v>
      </c>
      <c r="I16" s="170"/>
    </row>
    <row r="17" spans="1:15" x14ac:dyDescent="0.2">
      <c r="A17">
        <v>7</v>
      </c>
      <c r="C17" s="395"/>
      <c r="D17" s="395"/>
      <c r="E17" s="395"/>
      <c r="F17" s="395"/>
      <c r="G17" s="395"/>
      <c r="H17" s="395"/>
      <c r="I17" s="171"/>
    </row>
    <row r="18" spans="1:15" x14ac:dyDescent="0.2">
      <c r="C18" s="159"/>
      <c r="D18" s="160"/>
      <c r="E18" s="161"/>
      <c r="F18" s="221"/>
      <c r="G18" s="162"/>
      <c r="H18" s="95"/>
      <c r="I18" s="170"/>
    </row>
    <row r="19" spans="1:15" ht="37.5" customHeight="1" x14ac:dyDescent="0.2">
      <c r="C19" s="75"/>
      <c r="D19" s="75"/>
      <c r="E19" s="75"/>
      <c r="F19" s="75"/>
      <c r="G19" s="75"/>
      <c r="H19" s="75"/>
      <c r="I19" s="176"/>
    </row>
    <row r="20" spans="1:15" ht="13.5" customHeight="1" x14ac:dyDescent="0.2">
      <c r="D20" s="355"/>
      <c r="E20" s="355"/>
      <c r="F20" s="62"/>
      <c r="G20" s="286" t="s">
        <v>436</v>
      </c>
    </row>
    <row r="21" spans="1:15" ht="10.5" customHeight="1" x14ac:dyDescent="0.2">
      <c r="D21" s="396" t="s">
        <v>450</v>
      </c>
      <c r="E21" s="396"/>
      <c r="F21" s="62"/>
      <c r="G21" s="116" t="s">
        <v>89</v>
      </c>
    </row>
    <row r="28" spans="1:15" x14ac:dyDescent="0.2">
      <c r="J28" s="178" t="str">
        <f>Planilha!C49</f>
        <v>ED-49197</v>
      </c>
      <c r="K28" s="197" t="str">
        <f>Planilha!D49</f>
        <v>CAIXA DE INSPEÇÃO EM CONCRETO, TIPO "ZA" PASSEIO, PADRÃO CEMIG, DIMENSÃO (28X28)CM, ALTURA 40CM, COM TAMPA E ARO ARTICULADO EM FERRO FUNDIDO, INCLUSIVE ESCAVAÇÃO, APILOAMENTO, LASTRO DE BRITA, REATERRO E TRANSPORTE E RETIRADA DO MATERIAL ESCAVADO (EM CAÇAMBA</v>
      </c>
      <c r="L28" s="178" t="str">
        <f>Planilha!E49</f>
        <v xml:space="preserve">UN </v>
      </c>
      <c r="M28" s="179"/>
      <c r="N28" s="180"/>
      <c r="O28" s="181"/>
    </row>
    <row r="29" spans="1:15" x14ac:dyDescent="0.2">
      <c r="J29" s="182" t="s">
        <v>101</v>
      </c>
      <c r="K29" s="198" t="s">
        <v>102</v>
      </c>
      <c r="L29" s="182" t="s">
        <v>80</v>
      </c>
      <c r="M29" s="183"/>
      <c r="N29" s="184" t="s">
        <v>81</v>
      </c>
      <c r="O29" s="184" t="s">
        <v>15</v>
      </c>
    </row>
    <row r="30" spans="1:15" x14ac:dyDescent="0.2">
      <c r="J30" s="185">
        <v>43429</v>
      </c>
      <c r="K30" s="199" t="s">
        <v>149</v>
      </c>
      <c r="L30" s="186" t="s">
        <v>95</v>
      </c>
      <c r="M30" s="187">
        <v>1</v>
      </c>
      <c r="N30" s="188">
        <v>82.04</v>
      </c>
      <c r="O30" s="188">
        <f t="shared" ref="O30:O38" si="0">M30*N30</f>
        <v>82.04</v>
      </c>
    </row>
    <row r="31" spans="1:15" x14ac:dyDescent="0.2">
      <c r="J31" s="185">
        <v>100324</v>
      </c>
      <c r="K31" s="199" t="s">
        <v>128</v>
      </c>
      <c r="L31" s="186" t="s">
        <v>7</v>
      </c>
      <c r="M31" s="187">
        <v>1.1560000000000001E-2</v>
      </c>
      <c r="N31" s="188">
        <v>218.16</v>
      </c>
      <c r="O31" s="188">
        <f t="shared" si="0"/>
        <v>2.52</v>
      </c>
    </row>
    <row r="32" spans="1:15" x14ac:dyDescent="0.2">
      <c r="J32" s="185" t="s">
        <v>159</v>
      </c>
      <c r="K32" s="199" t="s">
        <v>158</v>
      </c>
      <c r="L32" s="186" t="s">
        <v>95</v>
      </c>
      <c r="M32" s="187">
        <v>1</v>
      </c>
      <c r="N32" s="188">
        <v>92.88</v>
      </c>
      <c r="O32" s="188">
        <f t="shared" si="0"/>
        <v>92.88</v>
      </c>
    </row>
    <row r="33" spans="1:15" x14ac:dyDescent="0.2">
      <c r="J33" s="185">
        <v>88242</v>
      </c>
      <c r="K33" s="199" t="s">
        <v>129</v>
      </c>
      <c r="L33" s="186" t="s">
        <v>122</v>
      </c>
      <c r="M33" s="187">
        <v>0.91666700000000001</v>
      </c>
      <c r="N33" s="188">
        <v>25.07</v>
      </c>
      <c r="O33" s="188">
        <f t="shared" si="0"/>
        <v>22.98</v>
      </c>
    </row>
    <row r="34" spans="1:15" x14ac:dyDescent="0.2">
      <c r="J34" s="185">
        <v>88309</v>
      </c>
      <c r="K34" s="199" t="s">
        <v>121</v>
      </c>
      <c r="L34" s="186" t="s">
        <v>122</v>
      </c>
      <c r="M34" s="187">
        <v>0.91666700000000001</v>
      </c>
      <c r="N34" s="188">
        <v>31.21</v>
      </c>
      <c r="O34" s="188">
        <f t="shared" si="0"/>
        <v>28.61</v>
      </c>
    </row>
    <row r="35" spans="1:15" x14ac:dyDescent="0.2">
      <c r="J35" s="185">
        <v>4805756</v>
      </c>
      <c r="K35" s="199" t="s">
        <v>127</v>
      </c>
      <c r="L35" s="186" t="s">
        <v>6</v>
      </c>
      <c r="M35" s="187">
        <v>0.11559999999999999</v>
      </c>
      <c r="N35" s="188">
        <v>4.6399999999999997</v>
      </c>
      <c r="O35" s="188">
        <f t="shared" si="0"/>
        <v>0.54</v>
      </c>
    </row>
    <row r="36" spans="1:15" x14ac:dyDescent="0.2">
      <c r="J36" s="185">
        <v>93358</v>
      </c>
      <c r="K36" s="199" t="s">
        <v>132</v>
      </c>
      <c r="L36" s="186" t="s">
        <v>7</v>
      </c>
      <c r="M36" s="187">
        <v>6.9360000000000005E-2</v>
      </c>
      <c r="N36" s="188">
        <v>89.55</v>
      </c>
      <c r="O36" s="188">
        <f t="shared" si="0"/>
        <v>6.21</v>
      </c>
    </row>
    <row r="37" spans="1:15" x14ac:dyDescent="0.2">
      <c r="J37" s="185" t="s">
        <v>134</v>
      </c>
      <c r="K37" s="199" t="s">
        <v>130</v>
      </c>
      <c r="L37" s="186" t="s">
        <v>7</v>
      </c>
      <c r="M37" s="187">
        <v>9.0167999999999998E-2</v>
      </c>
      <c r="N37" s="188">
        <v>84</v>
      </c>
      <c r="O37" s="188">
        <f t="shared" si="0"/>
        <v>7.57</v>
      </c>
    </row>
    <row r="38" spans="1:15" x14ac:dyDescent="0.2">
      <c r="J38" s="185" t="s">
        <v>133</v>
      </c>
      <c r="K38" s="199" t="s">
        <v>131</v>
      </c>
      <c r="L38" s="186" t="s">
        <v>7</v>
      </c>
      <c r="M38" s="187">
        <v>9.0167999999999998E-2</v>
      </c>
      <c r="N38" s="188">
        <v>24.15</v>
      </c>
      <c r="O38" s="188">
        <f t="shared" si="0"/>
        <v>2.1800000000000002</v>
      </c>
    </row>
    <row r="39" spans="1:15" x14ac:dyDescent="0.2">
      <c r="J39" s="185"/>
      <c r="K39" s="200"/>
      <c r="L39" s="185"/>
      <c r="M39" s="189"/>
      <c r="N39" s="190"/>
      <c r="O39" s="191">
        <f>SUM(O30:O38)</f>
        <v>245.53</v>
      </c>
    </row>
    <row r="40" spans="1:15" x14ac:dyDescent="0.2">
      <c r="C40" s="52">
        <v>93358</v>
      </c>
      <c r="D40" s="6" t="s">
        <v>229</v>
      </c>
      <c r="E40" s="96" t="s">
        <v>7</v>
      </c>
      <c r="F40" s="97">
        <f>(3.14159*0.2*0.2/4)*0.5*2</f>
        <v>3.1415999999999999E-2</v>
      </c>
      <c r="G40" s="122">
        <v>96.36</v>
      </c>
      <c r="H40" s="46">
        <f t="shared" ref="H40:H58" si="1">ROUND(F40*G40,2)</f>
        <v>3.03</v>
      </c>
      <c r="J40" s="192"/>
      <c r="K40" s="201"/>
      <c r="L40" s="192"/>
      <c r="M40" s="193"/>
      <c r="N40" s="194"/>
      <c r="O40" s="195"/>
    </row>
    <row r="41" spans="1:15" ht="51" x14ac:dyDescent="0.2">
      <c r="C41" s="52" t="s">
        <v>310</v>
      </c>
      <c r="D41" s="6" t="s">
        <v>309</v>
      </c>
      <c r="E41" s="96" t="s">
        <v>6</v>
      </c>
      <c r="F41" s="97">
        <f>(3.14159*0.2*0.4+3.14159*0.1*0.1/4)*2</f>
        <v>0.51836199999999999</v>
      </c>
      <c r="G41" s="122">
        <v>20.85</v>
      </c>
      <c r="H41" s="46">
        <f t="shared" si="1"/>
        <v>10.81</v>
      </c>
    </row>
    <row r="42" spans="1:15" s="177" customFormat="1" ht="25.5" x14ac:dyDescent="0.2">
      <c r="A42"/>
      <c r="B42" s="222"/>
      <c r="C42" s="52">
        <v>93382</v>
      </c>
      <c r="D42" s="6" t="s">
        <v>210</v>
      </c>
      <c r="E42" s="96" t="s">
        <v>7</v>
      </c>
      <c r="F42" s="97">
        <f>(3.14159*0.2*0.2/4)*0.5*2</f>
        <v>3.1415999999999999E-2</v>
      </c>
      <c r="G42" s="122">
        <v>29.73</v>
      </c>
      <c r="H42" s="46">
        <f t="shared" si="1"/>
        <v>0.93</v>
      </c>
      <c r="J42"/>
      <c r="K42" s="196"/>
      <c r="L42"/>
      <c r="M42"/>
      <c r="N42"/>
      <c r="O42"/>
    </row>
    <row r="43" spans="1:15" s="177" customFormat="1" ht="38.25" x14ac:dyDescent="0.2">
      <c r="A43"/>
      <c r="B43" s="222"/>
      <c r="C43" s="52">
        <v>105042</v>
      </c>
      <c r="D43" s="6" t="s">
        <v>302</v>
      </c>
      <c r="E43" s="96" t="s">
        <v>98</v>
      </c>
      <c r="F43" s="97">
        <f>0.4*2+0.4*2</f>
        <v>1.6</v>
      </c>
      <c r="G43" s="122">
        <v>66.58</v>
      </c>
      <c r="H43" s="46">
        <f t="shared" si="1"/>
        <v>106.53</v>
      </c>
      <c r="J43"/>
      <c r="K43" s="196"/>
      <c r="L43"/>
      <c r="M43"/>
      <c r="N43"/>
      <c r="O43"/>
    </row>
    <row r="44" spans="1:15" s="177" customFormat="1" ht="38.25" x14ac:dyDescent="0.2">
      <c r="A44"/>
      <c r="B44" s="222"/>
      <c r="C44" s="52">
        <v>105098</v>
      </c>
      <c r="D44" s="6" t="s">
        <v>307</v>
      </c>
      <c r="E44" s="96" t="s">
        <v>98</v>
      </c>
      <c r="F44" s="97">
        <f>0.4*2+0.4*2</f>
        <v>1.6</v>
      </c>
      <c r="G44" s="122">
        <v>85.68</v>
      </c>
      <c r="H44" s="46">
        <f t="shared" si="1"/>
        <v>137.09</v>
      </c>
      <c r="J44"/>
      <c r="K44" s="196"/>
      <c r="L44"/>
      <c r="M44"/>
      <c r="N44"/>
      <c r="O44"/>
    </row>
    <row r="45" spans="1:15" s="177" customFormat="1" ht="51" x14ac:dyDescent="0.2">
      <c r="A45"/>
      <c r="B45" s="222"/>
      <c r="C45" s="52">
        <v>105061</v>
      </c>
      <c r="D45" s="6" t="s">
        <v>305</v>
      </c>
      <c r="E45" s="96" t="s">
        <v>98</v>
      </c>
      <c r="F45" s="97">
        <f>0.4*2+0.4*2</f>
        <v>1.6</v>
      </c>
      <c r="G45" s="122">
        <v>90.02</v>
      </c>
      <c r="H45" s="46">
        <f t="shared" si="1"/>
        <v>144.03</v>
      </c>
      <c r="J45"/>
      <c r="K45" s="196"/>
      <c r="L45"/>
      <c r="M45"/>
      <c r="N45"/>
      <c r="O45"/>
    </row>
    <row r="46" spans="1:15" s="177" customFormat="1" ht="51" x14ac:dyDescent="0.2">
      <c r="A46"/>
      <c r="B46" s="222"/>
      <c r="C46" s="213">
        <v>105068</v>
      </c>
      <c r="D46" s="214" t="s">
        <v>306</v>
      </c>
      <c r="E46" s="215" t="s">
        <v>98</v>
      </c>
      <c r="F46" s="216">
        <f>0.4*2+0.4*2</f>
        <v>1.6</v>
      </c>
      <c r="G46" s="217">
        <v>143.1</v>
      </c>
      <c r="H46" s="218">
        <f t="shared" si="1"/>
        <v>228.96</v>
      </c>
      <c r="J46"/>
      <c r="K46" s="196"/>
      <c r="L46"/>
      <c r="M46"/>
      <c r="N46"/>
      <c r="O46"/>
    </row>
    <row r="47" spans="1:15" s="177" customFormat="1" ht="25.5" x14ac:dyDescent="0.2">
      <c r="A47"/>
      <c r="B47" s="222"/>
      <c r="C47" s="213" t="s">
        <v>296</v>
      </c>
      <c r="D47" s="214" t="s">
        <v>295</v>
      </c>
      <c r="E47" s="215" t="s">
        <v>95</v>
      </c>
      <c r="F47" s="216">
        <v>1</v>
      </c>
      <c r="G47" s="217">
        <v>49.99</v>
      </c>
      <c r="H47" s="218">
        <f t="shared" si="1"/>
        <v>49.99</v>
      </c>
      <c r="J47"/>
      <c r="K47" s="196"/>
      <c r="L47"/>
      <c r="M47"/>
      <c r="N47"/>
      <c r="O47"/>
    </row>
    <row r="48" spans="1:15" s="177" customFormat="1" ht="25.5" x14ac:dyDescent="0.2">
      <c r="A48"/>
      <c r="B48" s="222"/>
      <c r="C48" s="213" t="s">
        <v>172</v>
      </c>
      <c r="D48" s="214" t="s">
        <v>171</v>
      </c>
      <c r="E48" s="215" t="s">
        <v>95</v>
      </c>
      <c r="F48" s="216">
        <v>2</v>
      </c>
      <c r="G48" s="217">
        <v>5.58</v>
      </c>
      <c r="H48" s="218">
        <f t="shared" si="1"/>
        <v>11.16</v>
      </c>
      <c r="J48"/>
      <c r="K48" s="196"/>
      <c r="L48"/>
      <c r="M48"/>
      <c r="N48"/>
      <c r="O48"/>
    </row>
    <row r="49" spans="1:15" s="177" customFormat="1" ht="38.25" x14ac:dyDescent="0.2">
      <c r="A49"/>
      <c r="B49" s="222"/>
      <c r="C49" s="52" t="s">
        <v>173</v>
      </c>
      <c r="D49" s="6" t="s">
        <v>170</v>
      </c>
      <c r="E49" s="96" t="s">
        <v>7</v>
      </c>
      <c r="F49" s="97">
        <f>3.14159*0.125*0.125*0.4</f>
        <v>1.9635E-2</v>
      </c>
      <c r="G49" s="122">
        <v>776.43</v>
      </c>
      <c r="H49" s="46">
        <f t="shared" si="1"/>
        <v>15.25</v>
      </c>
      <c r="J49"/>
      <c r="K49" s="196"/>
      <c r="L49"/>
      <c r="M49"/>
      <c r="N49"/>
      <c r="O49"/>
    </row>
    <row r="50" spans="1:15" s="177" customFormat="1" ht="25.5" x14ac:dyDescent="0.2">
      <c r="A50"/>
      <c r="B50" s="222"/>
      <c r="C50" s="213" t="s">
        <v>296</v>
      </c>
      <c r="D50" s="214" t="s">
        <v>295</v>
      </c>
      <c r="E50" s="215" t="s">
        <v>95</v>
      </c>
      <c r="F50" s="216">
        <v>1</v>
      </c>
      <c r="G50" s="217">
        <v>49.99</v>
      </c>
      <c r="H50" s="218">
        <f t="shared" si="1"/>
        <v>49.99</v>
      </c>
      <c r="J50"/>
      <c r="K50" s="196"/>
      <c r="L50"/>
      <c r="M50"/>
      <c r="N50"/>
      <c r="O50"/>
    </row>
    <row r="51" spans="1:15" s="177" customFormat="1" ht="38.25" x14ac:dyDescent="0.2">
      <c r="A51"/>
      <c r="B51" s="222"/>
      <c r="C51" s="52" t="s">
        <v>300</v>
      </c>
      <c r="D51" s="6" t="s">
        <v>304</v>
      </c>
      <c r="E51" s="96" t="s">
        <v>6</v>
      </c>
      <c r="F51" s="97">
        <f>0.75*1*2+1*1.2</f>
        <v>2.7</v>
      </c>
      <c r="G51" s="122">
        <v>93.71</v>
      </c>
      <c r="H51" s="46">
        <f t="shared" si="1"/>
        <v>253.02</v>
      </c>
      <c r="J51"/>
      <c r="K51" s="196"/>
      <c r="L51"/>
      <c r="M51"/>
      <c r="N51"/>
      <c r="O51"/>
    </row>
    <row r="52" spans="1:15" s="177" customFormat="1" ht="38.25" x14ac:dyDescent="0.2">
      <c r="A52"/>
      <c r="B52" s="222"/>
      <c r="C52" s="52" t="s">
        <v>301</v>
      </c>
      <c r="D52" s="6" t="s">
        <v>303</v>
      </c>
      <c r="E52" s="96" t="s">
        <v>6</v>
      </c>
      <c r="F52" s="97">
        <f>0.75*1*2+1*1.2</f>
        <v>2.7</v>
      </c>
      <c r="G52" s="122">
        <v>253.33</v>
      </c>
      <c r="H52" s="46">
        <f t="shared" si="1"/>
        <v>683.99</v>
      </c>
      <c r="J52"/>
      <c r="K52" s="196"/>
      <c r="L52"/>
      <c r="M52"/>
      <c r="N52"/>
      <c r="O52"/>
    </row>
    <row r="53" spans="1:15" s="177" customFormat="1" ht="38.25" x14ac:dyDescent="0.2">
      <c r="A53"/>
      <c r="B53" s="222"/>
      <c r="C53" s="213">
        <v>92473</v>
      </c>
      <c r="D53" s="214" t="s">
        <v>308</v>
      </c>
      <c r="E53" s="215" t="s">
        <v>98</v>
      </c>
      <c r="F53" s="216"/>
      <c r="G53" s="217">
        <v>61.9</v>
      </c>
      <c r="H53" s="218">
        <f t="shared" si="1"/>
        <v>0</v>
      </c>
      <c r="J53"/>
      <c r="K53" s="196"/>
      <c r="L53"/>
      <c r="M53"/>
      <c r="N53"/>
      <c r="O53"/>
    </row>
    <row r="54" spans="1:15" s="177" customFormat="1" ht="38.25" x14ac:dyDescent="0.2">
      <c r="A54"/>
      <c r="B54" s="222"/>
      <c r="C54" s="52">
        <v>105080</v>
      </c>
      <c r="D54" s="6" t="s">
        <v>308</v>
      </c>
      <c r="E54" s="96" t="s">
        <v>98</v>
      </c>
      <c r="F54" s="97"/>
      <c r="G54" s="122">
        <v>57.67</v>
      </c>
      <c r="H54" s="46">
        <f t="shared" si="1"/>
        <v>0</v>
      </c>
      <c r="J54"/>
      <c r="K54" s="196"/>
      <c r="L54"/>
      <c r="M54"/>
      <c r="N54"/>
      <c r="O54"/>
    </row>
    <row r="55" spans="1:15" s="177" customFormat="1" x14ac:dyDescent="0.2">
      <c r="A55"/>
      <c r="B55" s="222"/>
      <c r="C55" s="52">
        <v>102234</v>
      </c>
      <c r="D55" s="6" t="s">
        <v>313</v>
      </c>
      <c r="E55" s="96" t="s">
        <v>6</v>
      </c>
      <c r="F55" s="97"/>
      <c r="G55" s="122">
        <v>25.65</v>
      </c>
      <c r="H55" s="46">
        <f t="shared" si="1"/>
        <v>0</v>
      </c>
      <c r="J55"/>
      <c r="K55" s="196"/>
      <c r="L55"/>
      <c r="M55"/>
      <c r="N55"/>
      <c r="O55"/>
    </row>
    <row r="56" spans="1:15" s="177" customFormat="1" ht="25.5" x14ac:dyDescent="0.2">
      <c r="A56"/>
      <c r="B56" s="222"/>
      <c r="C56" s="52">
        <v>4343</v>
      </c>
      <c r="D56" s="6" t="s">
        <v>171</v>
      </c>
      <c r="E56" s="96" t="s">
        <v>95</v>
      </c>
      <c r="F56" s="97"/>
      <c r="G56" s="122">
        <v>5.15</v>
      </c>
      <c r="H56" s="46">
        <f t="shared" si="1"/>
        <v>0</v>
      </c>
      <c r="J56"/>
      <c r="K56" s="196"/>
      <c r="L56"/>
      <c r="M56"/>
      <c r="N56"/>
      <c r="O56"/>
    </row>
    <row r="57" spans="1:15" s="177" customFormat="1" x14ac:dyDescent="0.2">
      <c r="A57"/>
      <c r="B57" s="222"/>
      <c r="C57" s="52">
        <v>88273</v>
      </c>
      <c r="D57" s="6" t="s">
        <v>311</v>
      </c>
      <c r="E57" s="96" t="s">
        <v>122</v>
      </c>
      <c r="F57" s="97"/>
      <c r="G57" s="122">
        <v>30.86</v>
      </c>
      <c r="H57" s="46">
        <f t="shared" si="1"/>
        <v>0</v>
      </c>
      <c r="J57"/>
      <c r="K57" s="196"/>
      <c r="L57"/>
      <c r="M57"/>
      <c r="N57"/>
      <c r="O57"/>
    </row>
    <row r="58" spans="1:15" s="177" customFormat="1" x14ac:dyDescent="0.2">
      <c r="A58"/>
      <c r="B58" s="222"/>
      <c r="C58" s="52">
        <v>88243</v>
      </c>
      <c r="D58" s="6" t="s">
        <v>312</v>
      </c>
      <c r="E58" s="96" t="s">
        <v>122</v>
      </c>
      <c r="F58" s="97"/>
      <c r="G58" s="122">
        <v>26.45</v>
      </c>
      <c r="H58" s="46">
        <f t="shared" si="1"/>
        <v>0</v>
      </c>
      <c r="J58"/>
      <c r="K58" s="196"/>
      <c r="L58"/>
      <c r="M58"/>
      <c r="N58"/>
      <c r="O58"/>
    </row>
  </sheetData>
  <autoFilter ref="I12:I21"/>
  <mergeCells count="14">
    <mergeCell ref="D20:E20"/>
    <mergeCell ref="D21:E21"/>
    <mergeCell ref="E9:F9"/>
    <mergeCell ref="G9:H9"/>
    <mergeCell ref="E8:F8"/>
    <mergeCell ref="G8:H8"/>
    <mergeCell ref="C7:H7"/>
    <mergeCell ref="C17:H17"/>
    <mergeCell ref="C1:H1"/>
    <mergeCell ref="C2:H2"/>
    <mergeCell ref="C3:H3"/>
    <mergeCell ref="C4:H4"/>
    <mergeCell ref="C5:H5"/>
    <mergeCell ref="C6:H6"/>
  </mergeCells>
  <hyperlinks>
    <hyperlink ref="G9" r:id="rId1"/>
  </hyperlinks>
  <printOptions horizontalCentered="1"/>
  <pageMargins left="0.70866141732283472" right="0.70866141732283472" top="0.74803149606299213" bottom="0.74803149606299213" header="0.31496062992125984" footer="0.31496062992125984"/>
  <pageSetup paperSize="9" scale="91" fitToHeight="0" orientation="portrait" r:id="rId2"/>
  <headerFooter>
    <oddFooter>&amp;C&amp;P/&amp;N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pageSetUpPr fitToPage="1"/>
  </sheetPr>
  <dimension ref="A1:J32"/>
  <sheetViews>
    <sheetView view="pageBreakPreview" zoomScale="110" zoomScaleSheetLayoutView="110" workbookViewId="0">
      <selection activeCell="I7" sqref="I7"/>
    </sheetView>
  </sheetViews>
  <sheetFormatPr defaultRowHeight="12.75" x14ac:dyDescent="0.2"/>
  <cols>
    <col min="1" max="1" width="4.85546875" style="1" customWidth="1"/>
    <col min="2" max="2" width="26.5703125" style="1" customWidth="1"/>
    <col min="3" max="3" width="10.85546875" style="3" customWidth="1"/>
    <col min="4" max="4" width="12.42578125" style="3" customWidth="1"/>
    <col min="5" max="10" width="12.7109375" style="1" customWidth="1"/>
    <col min="11" max="16384" width="9.140625" style="1"/>
  </cols>
  <sheetData>
    <row r="1" spans="1:10" ht="53.25" customHeight="1" x14ac:dyDescent="0.2">
      <c r="A1" s="406"/>
      <c r="B1" s="407"/>
      <c r="C1" s="407"/>
      <c r="D1" s="407"/>
      <c r="E1" s="407"/>
      <c r="F1" s="407"/>
      <c r="G1" s="407"/>
      <c r="H1" s="407"/>
      <c r="I1" s="407"/>
      <c r="J1" s="408"/>
    </row>
    <row r="2" spans="1:10" ht="3.75" customHeight="1" x14ac:dyDescent="0.2">
      <c r="A2" s="409"/>
      <c r="B2" s="410"/>
      <c r="C2" s="410"/>
      <c r="D2" s="410"/>
      <c r="E2" s="410"/>
      <c r="F2" s="410"/>
      <c r="G2" s="410"/>
      <c r="H2" s="410"/>
      <c r="I2" s="410"/>
      <c r="J2" s="411"/>
    </row>
    <row r="3" spans="1:10" ht="20.100000000000001" customHeight="1" x14ac:dyDescent="0.2">
      <c r="A3" s="412" t="s">
        <v>65</v>
      </c>
      <c r="B3" s="413"/>
      <c r="C3" s="413"/>
      <c r="D3" s="413"/>
      <c r="E3" s="413"/>
      <c r="F3" s="413"/>
      <c r="G3" s="413"/>
      <c r="H3" s="413"/>
      <c r="I3" s="413"/>
      <c r="J3" s="414"/>
    </row>
    <row r="4" spans="1:10" ht="18" customHeight="1" x14ac:dyDescent="0.2">
      <c r="A4" s="415" t="str">
        <f>Planilha!A5:F5</f>
        <v>OBRA: PROJETO DO ESPAÇO DE LAZER E ESTACIONAMENTO NO PARQUE DO AREÃO</v>
      </c>
      <c r="B4" s="416"/>
      <c r="C4" s="416"/>
      <c r="D4" s="416"/>
      <c r="E4" s="416"/>
      <c r="F4" s="416"/>
      <c r="G4" s="416"/>
      <c r="H4" s="416"/>
      <c r="I4" s="416"/>
      <c r="J4" s="417"/>
    </row>
    <row r="5" spans="1:10" ht="18" customHeight="1" x14ac:dyDescent="0.2">
      <c r="A5" s="415" t="str">
        <f>Planilha!A6:E6</f>
        <v>LOCAL: RUA ANTÔNIO LOUREIRO SOBRINHO, S/Nº - B. LUCÍLIA, JOÃO MONLEVADE</v>
      </c>
      <c r="B5" s="416"/>
      <c r="C5" s="416"/>
      <c r="D5" s="416"/>
      <c r="E5" s="416"/>
      <c r="F5" s="416"/>
      <c r="G5" s="416"/>
      <c r="H5" s="416"/>
      <c r="I5" s="416"/>
      <c r="J5" s="417"/>
    </row>
    <row r="6" spans="1:10" ht="18" customHeight="1" x14ac:dyDescent="0.2">
      <c r="A6" s="124" t="str">
        <f>Planilha!A8:E8</f>
        <v>PRAZO DE EXECUÇÃO: 4 MESES</v>
      </c>
      <c r="B6" s="44"/>
      <c r="C6" s="422" t="s">
        <v>24</v>
      </c>
      <c r="D6" s="423"/>
      <c r="E6" s="427">
        <f>Planilha!I94</f>
        <v>647371.97</v>
      </c>
      <c r="F6" s="427"/>
      <c r="G6" s="428"/>
      <c r="H6" s="45" t="s">
        <v>70</v>
      </c>
      <c r="I6" s="418" t="s">
        <v>453</v>
      </c>
      <c r="J6" s="419"/>
    </row>
    <row r="7" spans="1:10" ht="3.75" customHeight="1" x14ac:dyDescent="0.2">
      <c r="A7" s="424"/>
      <c r="B7" s="425"/>
      <c r="C7" s="425"/>
      <c r="D7" s="425"/>
      <c r="E7" s="425"/>
      <c r="F7" s="425"/>
      <c r="G7" s="426"/>
      <c r="H7" s="2"/>
      <c r="I7" s="2"/>
      <c r="J7" s="125"/>
    </row>
    <row r="8" spans="1:10" ht="27.75" customHeight="1" x14ac:dyDescent="0.2">
      <c r="A8" s="126" t="s">
        <v>0</v>
      </c>
      <c r="B8" s="20" t="s">
        <v>8</v>
      </c>
      <c r="C8" s="21" t="s">
        <v>9</v>
      </c>
      <c r="D8" s="21" t="s">
        <v>10</v>
      </c>
      <c r="E8" s="22" t="s">
        <v>11</v>
      </c>
      <c r="F8" s="22" t="s">
        <v>12</v>
      </c>
      <c r="G8" s="22" t="s">
        <v>69</v>
      </c>
      <c r="H8" s="22" t="s">
        <v>144</v>
      </c>
      <c r="I8" s="22" t="s">
        <v>145</v>
      </c>
      <c r="J8" s="127" t="s">
        <v>15</v>
      </c>
    </row>
    <row r="9" spans="1:10" ht="16.5" customHeight="1" x14ac:dyDescent="0.2">
      <c r="A9" s="420">
        <v>1</v>
      </c>
      <c r="B9" s="421" t="str">
        <f>Planilha!D11</f>
        <v xml:space="preserve">MOBILIZAÇÃO E DESMOBILIZAÇÃO DE OBRA </v>
      </c>
      <c r="C9" s="23" t="s">
        <v>13</v>
      </c>
      <c r="D9" s="292">
        <f>D10/D$26</f>
        <v>4.7600000000000003E-3</v>
      </c>
      <c r="E9" s="24">
        <v>0.5</v>
      </c>
      <c r="F9" s="24"/>
      <c r="G9" s="24"/>
      <c r="H9" s="287">
        <v>0.5</v>
      </c>
      <c r="I9" s="24"/>
      <c r="J9" s="289">
        <f>SUM(E9:H9)</f>
        <v>1</v>
      </c>
    </row>
    <row r="10" spans="1:10" ht="16.5" customHeight="1" x14ac:dyDescent="0.2">
      <c r="A10" s="420"/>
      <c r="B10" s="421"/>
      <c r="C10" s="23" t="s">
        <v>14</v>
      </c>
      <c r="D10" s="117">
        <f>Planilha!I11</f>
        <v>3083.36</v>
      </c>
      <c r="E10" s="118">
        <f>E9*$D$10</f>
        <v>1541.68</v>
      </c>
      <c r="F10" s="118"/>
      <c r="G10" s="118"/>
      <c r="H10" s="288">
        <f>ROUND(H9*$D10,2)</f>
        <v>1541.68</v>
      </c>
      <c r="I10" s="118"/>
      <c r="J10" s="290">
        <f t="shared" ref="J10:J24" si="0">SUM(E10:H10)</f>
        <v>3083.36</v>
      </c>
    </row>
    <row r="11" spans="1:10" ht="16.5" customHeight="1" x14ac:dyDescent="0.2">
      <c r="A11" s="420">
        <v>2</v>
      </c>
      <c r="B11" s="421" t="s">
        <v>50</v>
      </c>
      <c r="C11" s="23" t="s">
        <v>13</v>
      </c>
      <c r="D11" s="292">
        <f>D12/D$26</f>
        <v>4.2659999999999997E-2</v>
      </c>
      <c r="E11" s="24">
        <v>0.25</v>
      </c>
      <c r="F11" s="24">
        <v>0.25</v>
      </c>
      <c r="G11" s="24">
        <v>0.25</v>
      </c>
      <c r="H11" s="287">
        <v>0.25</v>
      </c>
      <c r="I11" s="24"/>
      <c r="J11" s="289">
        <f t="shared" si="0"/>
        <v>1</v>
      </c>
    </row>
    <row r="12" spans="1:10" ht="16.5" customHeight="1" x14ac:dyDescent="0.2">
      <c r="A12" s="420"/>
      <c r="B12" s="421"/>
      <c r="C12" s="23" t="s">
        <v>14</v>
      </c>
      <c r="D12" s="117">
        <f>Planilha!I14</f>
        <v>27617.19</v>
      </c>
      <c r="E12" s="118">
        <f>ROUND(E11*$D$12,2)</f>
        <v>6904.3</v>
      </c>
      <c r="F12" s="118">
        <f>ROUND(F11*$D$12,2)</f>
        <v>6904.3</v>
      </c>
      <c r="G12" s="118">
        <f>ROUND(G11*$D$12,2)</f>
        <v>6904.3</v>
      </c>
      <c r="H12" s="288">
        <f>ROUND(H11*$D12,2)</f>
        <v>6904.3</v>
      </c>
      <c r="I12" s="118"/>
      <c r="J12" s="290">
        <f t="shared" si="0"/>
        <v>27617.200000000001</v>
      </c>
    </row>
    <row r="13" spans="1:10" ht="16.5" customHeight="1" x14ac:dyDescent="0.2">
      <c r="A13" s="420">
        <v>3</v>
      </c>
      <c r="B13" s="421" t="s">
        <v>390</v>
      </c>
      <c r="C13" s="23" t="s">
        <v>13</v>
      </c>
      <c r="D13" s="292">
        <f>D14/D$26</f>
        <v>1.9089999999999999E-2</v>
      </c>
      <c r="E13" s="24">
        <f>E14/$D14</f>
        <v>0.37930000000000003</v>
      </c>
      <c r="F13" s="24">
        <f>F14/$D14</f>
        <v>0.17899999999999999</v>
      </c>
      <c r="G13" s="24">
        <f>G14/$D14</f>
        <v>0.17899999999999999</v>
      </c>
      <c r="H13" s="24">
        <f>H14/$D14</f>
        <v>0.26269999999999999</v>
      </c>
      <c r="I13" s="24"/>
      <c r="J13" s="289">
        <f t="shared" si="0"/>
        <v>1</v>
      </c>
    </row>
    <row r="14" spans="1:10" ht="16.5" customHeight="1" x14ac:dyDescent="0.2">
      <c r="A14" s="420"/>
      <c r="B14" s="421"/>
      <c r="C14" s="23" t="s">
        <v>14</v>
      </c>
      <c r="D14" s="291">
        <f>Planilha!I17</f>
        <v>12359.32</v>
      </c>
      <c r="E14" s="118">
        <f>ROUND(1441.42+990.91+2067.18/2+1221.77,2)</f>
        <v>4687.6899999999996</v>
      </c>
      <c r="F14" s="118">
        <f>990.91+1221.77</f>
        <v>2212.6799999999998</v>
      </c>
      <c r="G14" s="118">
        <f>990.91+1221.77</f>
        <v>2212.6799999999998</v>
      </c>
      <c r="H14" s="118">
        <f>ROUND(990.91+1221.77+2067.18/2,2)</f>
        <v>3246.27</v>
      </c>
      <c r="I14" s="118"/>
      <c r="J14" s="290">
        <f t="shared" si="0"/>
        <v>12359.32</v>
      </c>
    </row>
    <row r="15" spans="1:10" ht="16.5" customHeight="1" x14ac:dyDescent="0.2">
      <c r="A15" s="420">
        <v>4</v>
      </c>
      <c r="B15" s="421" t="str">
        <f>Planilha!D23</f>
        <v>MOVIMENTAÇÕES DE TERRA, CONTENÇÕES, DEMOLIÇÕES, DRENAGEM E PASSEIO</v>
      </c>
      <c r="C15" s="23" t="s">
        <v>13</v>
      </c>
      <c r="D15" s="292">
        <f>D16/D$26</f>
        <v>0.56376999999999999</v>
      </c>
      <c r="E15" s="24">
        <v>0.1</v>
      </c>
      <c r="F15" s="24">
        <v>0.35</v>
      </c>
      <c r="G15" s="24">
        <v>0.35</v>
      </c>
      <c r="H15" s="24">
        <v>0.2</v>
      </c>
      <c r="I15" s="24"/>
      <c r="J15" s="289">
        <f t="shared" si="0"/>
        <v>1</v>
      </c>
    </row>
    <row r="16" spans="1:10" ht="16.5" customHeight="1" x14ac:dyDescent="0.2">
      <c r="A16" s="420"/>
      <c r="B16" s="421"/>
      <c r="C16" s="23" t="s">
        <v>14</v>
      </c>
      <c r="D16" s="291">
        <f>Planilha!I23</f>
        <v>364968.95</v>
      </c>
      <c r="E16" s="118">
        <f>ROUND(E15*$D$16,2)</f>
        <v>36496.9</v>
      </c>
      <c r="F16" s="118">
        <f>ROUND(F15*$D$16,2)</f>
        <v>127739.13</v>
      </c>
      <c r="G16" s="118">
        <f>ROUND(G15*$D$16,2)</f>
        <v>127739.13</v>
      </c>
      <c r="H16" s="288">
        <f>ROUND(H15*$D16,2)</f>
        <v>72993.789999999994</v>
      </c>
      <c r="I16" s="25"/>
      <c r="J16" s="290">
        <f t="shared" si="0"/>
        <v>364968.95</v>
      </c>
    </row>
    <row r="17" spans="1:10" ht="16.5" customHeight="1" x14ac:dyDescent="0.2">
      <c r="A17" s="420">
        <v>5</v>
      </c>
      <c r="B17" s="421" t="str">
        <f>Planilha!D47</f>
        <v>ILUMINAÇÃO, PONTO DE RECARGA E PONTOS DE ÁGUA</v>
      </c>
      <c r="C17" s="23" t="s">
        <v>13</v>
      </c>
      <c r="D17" s="292">
        <f>D18/D$26</f>
        <v>0.17809</v>
      </c>
      <c r="E17" s="24"/>
      <c r="F17" s="24">
        <v>0.1</v>
      </c>
      <c r="G17" s="24">
        <v>0.5</v>
      </c>
      <c r="H17" s="24">
        <v>0.4</v>
      </c>
      <c r="I17" s="24"/>
      <c r="J17" s="289">
        <f t="shared" si="0"/>
        <v>1</v>
      </c>
    </row>
    <row r="18" spans="1:10" ht="16.5" customHeight="1" x14ac:dyDescent="0.2">
      <c r="A18" s="420"/>
      <c r="B18" s="421"/>
      <c r="C18" s="23" t="s">
        <v>14</v>
      </c>
      <c r="D18" s="117">
        <f>Planilha!I47</f>
        <v>115287.38</v>
      </c>
      <c r="E18" s="118"/>
      <c r="F18" s="118">
        <f>ROUND(F17*$D$18,2)</f>
        <v>11528.74</v>
      </c>
      <c r="G18" s="118">
        <f>ROUND(G17*$D$18,2)</f>
        <v>57643.69</v>
      </c>
      <c r="H18" s="288">
        <f>ROUND(H17*$D18,2)</f>
        <v>46114.95</v>
      </c>
      <c r="I18" s="118"/>
      <c r="J18" s="290">
        <f t="shared" si="0"/>
        <v>115287.38</v>
      </c>
    </row>
    <row r="19" spans="1:10" ht="16.5" customHeight="1" x14ac:dyDescent="0.2">
      <c r="A19" s="420">
        <v>6</v>
      </c>
      <c r="B19" s="421" t="str">
        <f>Planilha!D68</f>
        <v>PAISAGISMO</v>
      </c>
      <c r="C19" s="23" t="s">
        <v>13</v>
      </c>
      <c r="D19" s="292">
        <f>D20/D$26</f>
        <v>1.269E-2</v>
      </c>
      <c r="E19" s="118"/>
      <c r="F19" s="118"/>
      <c r="G19" s="24">
        <v>0.8</v>
      </c>
      <c r="H19" s="24">
        <v>0.2</v>
      </c>
      <c r="I19" s="24"/>
      <c r="J19" s="289">
        <f t="shared" si="0"/>
        <v>1</v>
      </c>
    </row>
    <row r="20" spans="1:10" ht="16.5" customHeight="1" x14ac:dyDescent="0.2">
      <c r="A20" s="420"/>
      <c r="B20" s="421"/>
      <c r="C20" s="23" t="s">
        <v>14</v>
      </c>
      <c r="D20" s="117">
        <f>Planilha!I68</f>
        <v>8213.4699999999993</v>
      </c>
      <c r="E20" s="118"/>
      <c r="F20" s="118"/>
      <c r="G20" s="118">
        <f>ROUND(G19*$D$20,2)</f>
        <v>6570.78</v>
      </c>
      <c r="H20" s="288">
        <f>ROUND(H19*$D20,2)</f>
        <v>1642.69</v>
      </c>
      <c r="I20" s="118"/>
      <c r="J20" s="290">
        <f t="shared" si="0"/>
        <v>8213.4699999999993</v>
      </c>
    </row>
    <row r="21" spans="1:10" ht="16.5" customHeight="1" x14ac:dyDescent="0.2">
      <c r="A21" s="420">
        <v>7</v>
      </c>
      <c r="B21" s="421" t="str">
        <f>Planilha!D74</f>
        <v>EQUIPAMENTOS E BRIQUEDOS</v>
      </c>
      <c r="C21" s="23" t="s">
        <v>13</v>
      </c>
      <c r="D21" s="292">
        <f>D22/D$26</f>
        <v>0.15071000000000001</v>
      </c>
      <c r="E21" s="118"/>
      <c r="F21" s="118"/>
      <c r="G21" s="24">
        <v>0.2</v>
      </c>
      <c r="H21" s="24">
        <v>0.8</v>
      </c>
      <c r="I21" s="24"/>
      <c r="J21" s="289">
        <f t="shared" si="0"/>
        <v>1</v>
      </c>
    </row>
    <row r="22" spans="1:10" ht="16.5" customHeight="1" x14ac:dyDescent="0.2">
      <c r="A22" s="420"/>
      <c r="B22" s="421"/>
      <c r="C22" s="23" t="s">
        <v>14</v>
      </c>
      <c r="D22" s="117">
        <f>Planilha!I74</f>
        <v>97562.68</v>
      </c>
      <c r="E22" s="118"/>
      <c r="F22" s="118"/>
      <c r="G22" s="118">
        <f>ROUND(G21*$D$22,2)</f>
        <v>19512.54</v>
      </c>
      <c r="H22" s="288">
        <f>ROUND(H21*$D22,2)</f>
        <v>78050.14</v>
      </c>
      <c r="I22" s="118"/>
      <c r="J22" s="290">
        <f t="shared" si="0"/>
        <v>97562.68</v>
      </c>
    </row>
    <row r="23" spans="1:10" ht="16.5" customHeight="1" x14ac:dyDescent="0.2">
      <c r="A23" s="420">
        <v>8</v>
      </c>
      <c r="B23" s="421" t="str">
        <f>Planilha!D86</f>
        <v>DRENAGEM</v>
      </c>
      <c r="C23" s="23" t="s">
        <v>13</v>
      </c>
      <c r="D23" s="292">
        <f>D24/D$26</f>
        <v>2.8240000000000001E-2</v>
      </c>
      <c r="E23" s="118"/>
      <c r="F23" s="24">
        <v>1</v>
      </c>
      <c r="G23" s="118"/>
      <c r="H23" s="118"/>
      <c r="I23" s="118"/>
      <c r="J23" s="289">
        <f t="shared" si="0"/>
        <v>1</v>
      </c>
    </row>
    <row r="24" spans="1:10" ht="16.5" customHeight="1" x14ac:dyDescent="0.2">
      <c r="A24" s="420"/>
      <c r="B24" s="421"/>
      <c r="C24" s="23" t="s">
        <v>14</v>
      </c>
      <c r="D24" s="117">
        <f>Planilha!I86</f>
        <v>18279.62</v>
      </c>
      <c r="E24" s="118"/>
      <c r="F24" s="118">
        <f>ROUND(F23*$D$24,2)</f>
        <v>18279.62</v>
      </c>
      <c r="G24" s="118"/>
      <c r="H24" s="118"/>
      <c r="I24" s="118"/>
      <c r="J24" s="290">
        <f t="shared" si="0"/>
        <v>18279.62</v>
      </c>
    </row>
    <row r="25" spans="1:10" ht="16.5" customHeight="1" x14ac:dyDescent="0.2">
      <c r="A25" s="430" t="s">
        <v>15</v>
      </c>
      <c r="B25" s="431"/>
      <c r="C25" s="15" t="s">
        <v>13</v>
      </c>
      <c r="D25" s="26">
        <f>D9+D11+D13+D15+D17+D19+D21+D23</f>
        <v>1</v>
      </c>
      <c r="E25" s="26">
        <f>ROUND(E26/D26,4)</f>
        <v>7.6700000000000004E-2</v>
      </c>
      <c r="F25" s="26">
        <f>ROUND(F26/D26,4)</f>
        <v>0.25740000000000002</v>
      </c>
      <c r="G25" s="26">
        <f>ROUND(G26/D26,4)</f>
        <v>0.3407</v>
      </c>
      <c r="H25" s="26">
        <f>ROUND(H26/D26,4)</f>
        <v>0.32519999999999999</v>
      </c>
      <c r="I25" s="26"/>
      <c r="J25" s="128">
        <f>SUM(E25:H25)</f>
        <v>1</v>
      </c>
    </row>
    <row r="26" spans="1:10" ht="16.5" customHeight="1" x14ac:dyDescent="0.2">
      <c r="A26" s="432"/>
      <c r="B26" s="433"/>
      <c r="C26" s="129" t="s">
        <v>14</v>
      </c>
      <c r="D26" s="130">
        <f>SUM(D18,D16,D14,D12,D10,D20,D22,D24)</f>
        <v>647371.97</v>
      </c>
      <c r="E26" s="130">
        <f>ROUND(E10+E12+E14+E16+E18+E20+E22+E24,2)</f>
        <v>49630.57</v>
      </c>
      <c r="F26" s="130">
        <f>ROUND(F10+F12+F14+F16+F18+F20+F22+F24,2)</f>
        <v>166664.47</v>
      </c>
      <c r="G26" s="130">
        <f>ROUND(G10+G12+G14+G16+G18+G20+G22+G24,2)</f>
        <v>220583.12</v>
      </c>
      <c r="H26" s="130">
        <f>ROUND(H10+H12+H14+H16+H18+H20+H22+H24,2)</f>
        <v>210493.82</v>
      </c>
      <c r="I26" s="130"/>
      <c r="J26" s="293">
        <f>SUM(E26:H26)-0.006</f>
        <v>647371.97</v>
      </c>
    </row>
    <row r="27" spans="1:10" ht="13.5" customHeight="1" x14ac:dyDescent="0.2">
      <c r="A27" s="131"/>
      <c r="B27" s="132"/>
      <c r="C27" s="133"/>
      <c r="D27" s="133"/>
      <c r="E27" s="132"/>
      <c r="F27" s="132"/>
      <c r="G27" s="132"/>
      <c r="H27" s="132"/>
      <c r="I27" s="132"/>
      <c r="J27" s="134"/>
    </row>
    <row r="28" spans="1:10" ht="39" customHeight="1" x14ac:dyDescent="0.2">
      <c r="A28" s="135"/>
      <c r="B28" s="2"/>
      <c r="C28" s="136"/>
      <c r="D28" s="136"/>
      <c r="E28" s="2"/>
      <c r="F28" s="2"/>
      <c r="G28" s="2"/>
      <c r="H28" s="2"/>
      <c r="I28" s="2"/>
      <c r="J28" s="125"/>
    </row>
    <row r="29" spans="1:10" ht="14.1" customHeight="1" x14ac:dyDescent="0.2">
      <c r="A29" s="135"/>
      <c r="B29" s="354"/>
      <c r="C29" s="354"/>
      <c r="D29" s="354"/>
      <c r="E29" s="354"/>
      <c r="F29" s="354"/>
      <c r="G29" s="354"/>
      <c r="H29" s="2"/>
      <c r="I29" s="286" t="s">
        <v>436</v>
      </c>
      <c r="J29" s="125"/>
    </row>
    <row r="30" spans="1:10" ht="14.1" customHeight="1" x14ac:dyDescent="0.2">
      <c r="A30" s="135"/>
      <c r="B30" s="429" t="s">
        <v>435</v>
      </c>
      <c r="C30" s="429"/>
      <c r="D30" s="429"/>
      <c r="E30" s="429"/>
      <c r="F30" s="429"/>
      <c r="G30" s="429"/>
      <c r="H30" s="2"/>
      <c r="I30" s="116" t="s">
        <v>89</v>
      </c>
      <c r="J30" s="125"/>
    </row>
    <row r="31" spans="1:10" ht="6" customHeight="1" x14ac:dyDescent="0.2">
      <c r="A31" s="135"/>
      <c r="B31" s="137"/>
      <c r="C31" s="138"/>
      <c r="D31" s="138"/>
      <c r="E31" s="137"/>
      <c r="F31" s="137"/>
      <c r="G31" s="2"/>
      <c r="H31" s="2"/>
      <c r="I31" s="2"/>
      <c r="J31" s="125"/>
    </row>
    <row r="32" spans="1:10" ht="6.75" customHeight="1" x14ac:dyDescent="0.2">
      <c r="A32" s="139"/>
      <c r="B32" s="140"/>
      <c r="C32" s="141"/>
      <c r="D32" s="141"/>
      <c r="E32" s="140"/>
      <c r="F32" s="140"/>
      <c r="G32" s="140"/>
      <c r="H32" s="140"/>
      <c r="I32" s="140"/>
      <c r="J32" s="142"/>
    </row>
  </sheetData>
  <mergeCells count="28">
    <mergeCell ref="B30:G30"/>
    <mergeCell ref="B29:G29"/>
    <mergeCell ref="A17:A18"/>
    <mergeCell ref="B17:B18"/>
    <mergeCell ref="B23:B24"/>
    <mergeCell ref="A25:B26"/>
    <mergeCell ref="A19:A20"/>
    <mergeCell ref="B19:B20"/>
    <mergeCell ref="B13:B14"/>
    <mergeCell ref="A13:A14"/>
    <mergeCell ref="A21:A22"/>
    <mergeCell ref="B21:B22"/>
    <mergeCell ref="A23:A24"/>
    <mergeCell ref="A15:A16"/>
    <mergeCell ref="B15:B16"/>
    <mergeCell ref="I6:J6"/>
    <mergeCell ref="A9:A10"/>
    <mergeCell ref="B9:B10"/>
    <mergeCell ref="A11:A12"/>
    <mergeCell ref="C6:D6"/>
    <mergeCell ref="A7:G7"/>
    <mergeCell ref="E6:G6"/>
    <mergeCell ref="B11:B12"/>
    <mergeCell ref="A1:J1"/>
    <mergeCell ref="A2:J2"/>
    <mergeCell ref="A3:J3"/>
    <mergeCell ref="A4:J4"/>
    <mergeCell ref="A5:J5"/>
  </mergeCells>
  <phoneticPr fontId="4" type="noConversion"/>
  <printOptions horizontalCentered="1"/>
  <pageMargins left="0.70866141732283461" right="0.70866141732283461" top="0.74803149606299213" bottom="0.79" header="0.31496062992125984" footer="0.31496062992125984"/>
  <pageSetup paperSize="9" scale="90" fitToWidth="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view="pageBreakPreview" topLeftCell="A10" zoomScale="110" zoomScaleSheetLayoutView="110" workbookViewId="0">
      <selection activeCell="C20" sqref="C20"/>
    </sheetView>
  </sheetViews>
  <sheetFormatPr defaultRowHeight="12.75" x14ac:dyDescent="0.2"/>
  <cols>
    <col min="1" max="1" width="32.42578125" customWidth="1"/>
    <col min="2" max="2" width="15.42578125" customWidth="1"/>
    <col min="3" max="3" width="13.85546875" customWidth="1"/>
    <col min="4" max="4" width="17.28515625" customWidth="1"/>
  </cols>
  <sheetData>
    <row r="1" spans="1:4" ht="57.75" customHeight="1" x14ac:dyDescent="0.2">
      <c r="A1" s="462"/>
      <c r="B1" s="463"/>
      <c r="C1" s="463"/>
      <c r="D1" s="464"/>
    </row>
    <row r="2" spans="1:4" ht="3.75" customHeight="1" x14ac:dyDescent="0.2">
      <c r="A2" s="459"/>
      <c r="B2" s="460"/>
      <c r="C2" s="460"/>
      <c r="D2" s="461"/>
    </row>
    <row r="3" spans="1:4" ht="20.100000000000001" customHeight="1" x14ac:dyDescent="0.2">
      <c r="A3" s="465" t="s">
        <v>452</v>
      </c>
      <c r="B3" s="466"/>
      <c r="C3" s="466"/>
      <c r="D3" s="467"/>
    </row>
    <row r="4" spans="1:4" ht="4.5" customHeight="1" x14ac:dyDescent="0.2">
      <c r="A4" s="459"/>
      <c r="B4" s="460"/>
      <c r="C4" s="460"/>
      <c r="D4" s="461"/>
    </row>
    <row r="5" spans="1:4" ht="18" customHeight="1" x14ac:dyDescent="0.2">
      <c r="A5" s="468" t="str">
        <f>Planilha!A5:F5</f>
        <v>OBRA: PROJETO DO ESPAÇO DE LAZER E ESTACIONAMENTO NO PARQUE DO AREÃO</v>
      </c>
      <c r="B5" s="469"/>
      <c r="C5" s="469"/>
      <c r="D5" s="470"/>
    </row>
    <row r="6" spans="1:4" ht="27" customHeight="1" x14ac:dyDescent="0.2">
      <c r="A6" s="468" t="str">
        <f>Planilha!A6:E6</f>
        <v>LOCAL: RUA ANTÔNIO LOUREIRO SOBRINHO, S/Nº - B. LUCÍLIA, JOÃO MONLEVADE</v>
      </c>
      <c r="B6" s="469"/>
      <c r="C6" s="469"/>
      <c r="D6" s="470"/>
    </row>
    <row r="7" spans="1:4" ht="3.75" customHeight="1" x14ac:dyDescent="0.2">
      <c r="A7" s="456"/>
      <c r="B7" s="457"/>
      <c r="C7" s="457"/>
      <c r="D7" s="458"/>
    </row>
    <row r="8" spans="1:4" ht="21" customHeight="1" x14ac:dyDescent="0.2">
      <c r="A8" s="445" t="s">
        <v>94</v>
      </c>
      <c r="B8" s="446"/>
      <c r="C8" s="446"/>
      <c r="D8" s="447"/>
    </row>
    <row r="9" spans="1:4" ht="27.75" customHeight="1" x14ac:dyDescent="0.2">
      <c r="A9" s="143" t="s">
        <v>25</v>
      </c>
      <c r="B9" s="29" t="s">
        <v>26</v>
      </c>
      <c r="C9" s="28" t="s">
        <v>27</v>
      </c>
      <c r="D9" s="144" t="s">
        <v>28</v>
      </c>
    </row>
    <row r="10" spans="1:4" ht="20.100000000000001" customHeight="1" x14ac:dyDescent="0.2">
      <c r="A10" s="294" t="s">
        <v>29</v>
      </c>
      <c r="B10" s="295" t="s">
        <v>30</v>
      </c>
      <c r="C10" s="296">
        <v>1</v>
      </c>
      <c r="D10" s="297"/>
    </row>
    <row r="11" spans="1:4" ht="20.100000000000001" customHeight="1" x14ac:dyDescent="0.2">
      <c r="A11" s="298" t="s">
        <v>31</v>
      </c>
      <c r="B11" s="295" t="s">
        <v>18</v>
      </c>
      <c r="C11" s="296">
        <v>3.9199999999999999E-2</v>
      </c>
      <c r="D11" s="297" t="s">
        <v>30</v>
      </c>
    </row>
    <row r="12" spans="1:4" ht="20.100000000000001" customHeight="1" x14ac:dyDescent="0.2">
      <c r="A12" s="298" t="s">
        <v>32</v>
      </c>
      <c r="B12" s="295" t="s">
        <v>21</v>
      </c>
      <c r="C12" s="296">
        <v>6.9000000000000006E-2</v>
      </c>
      <c r="D12" s="297" t="s">
        <v>30</v>
      </c>
    </row>
    <row r="13" spans="1:4" ht="20.100000000000001" customHeight="1" x14ac:dyDescent="0.2">
      <c r="A13" s="298" t="s">
        <v>33</v>
      </c>
      <c r="B13" s="295" t="s">
        <v>20</v>
      </c>
      <c r="C13" s="296">
        <v>8.0000000000000002E-3</v>
      </c>
      <c r="D13" s="297" t="s">
        <v>30</v>
      </c>
    </row>
    <row r="14" spans="1:4" ht="20.100000000000001" customHeight="1" x14ac:dyDescent="0.2">
      <c r="A14" s="298" t="s">
        <v>34</v>
      </c>
      <c r="B14" s="295" t="s">
        <v>35</v>
      </c>
      <c r="C14" s="296">
        <f>C15+C16</f>
        <v>1.77E-2</v>
      </c>
      <c r="D14" s="297" t="s">
        <v>30</v>
      </c>
    </row>
    <row r="15" spans="1:4" ht="20.100000000000001" customHeight="1" x14ac:dyDescent="0.2">
      <c r="A15" s="299" t="s">
        <v>36</v>
      </c>
      <c r="B15" s="295" t="s">
        <v>37</v>
      </c>
      <c r="C15" s="300">
        <v>8.0000000000000002E-3</v>
      </c>
      <c r="D15" s="301" t="s">
        <v>30</v>
      </c>
    </row>
    <row r="16" spans="1:4" ht="20.100000000000001" customHeight="1" x14ac:dyDescent="0.2">
      <c r="A16" s="299" t="s">
        <v>38</v>
      </c>
      <c r="B16" s="295" t="s">
        <v>19</v>
      </c>
      <c r="C16" s="300">
        <v>9.7000000000000003E-3</v>
      </c>
      <c r="D16" s="301" t="s">
        <v>30</v>
      </c>
    </row>
    <row r="17" spans="1:4" ht="20.100000000000001" customHeight="1" x14ac:dyDescent="0.2">
      <c r="A17" s="298" t="s">
        <v>22</v>
      </c>
      <c r="B17" s="295" t="s">
        <v>39</v>
      </c>
      <c r="C17" s="300">
        <f>C18+C19+C20</f>
        <v>8.6499999999999994E-2</v>
      </c>
      <c r="D17" s="301" t="s">
        <v>40</v>
      </c>
    </row>
    <row r="18" spans="1:4" ht="20.100000000000001" customHeight="1" x14ac:dyDescent="0.2">
      <c r="A18" s="299" t="s">
        <v>23</v>
      </c>
      <c r="B18" s="295" t="s">
        <v>23</v>
      </c>
      <c r="C18" s="296">
        <v>0.05</v>
      </c>
      <c r="D18" s="301" t="s">
        <v>40</v>
      </c>
    </row>
    <row r="19" spans="1:4" ht="20.100000000000001" customHeight="1" x14ac:dyDescent="0.2">
      <c r="A19" s="299" t="s">
        <v>41</v>
      </c>
      <c r="B19" s="295" t="s">
        <v>41</v>
      </c>
      <c r="C19" s="300">
        <v>6.4999999999999997E-3</v>
      </c>
      <c r="D19" s="301" t="s">
        <v>40</v>
      </c>
    </row>
    <row r="20" spans="1:4" ht="20.100000000000001" customHeight="1" x14ac:dyDescent="0.2">
      <c r="A20" s="299" t="s">
        <v>42</v>
      </c>
      <c r="B20" s="295" t="s">
        <v>42</v>
      </c>
      <c r="C20" s="300">
        <v>0.03</v>
      </c>
      <c r="D20" s="301" t="s">
        <v>40</v>
      </c>
    </row>
    <row r="21" spans="1:4" ht="20.100000000000001" customHeight="1" x14ac:dyDescent="0.2">
      <c r="A21" s="298" t="s">
        <v>43</v>
      </c>
      <c r="B21" s="295" t="s">
        <v>44</v>
      </c>
      <c r="C21" s="302"/>
      <c r="D21" s="301" t="s">
        <v>40</v>
      </c>
    </row>
    <row r="22" spans="1:4" ht="18.75" customHeight="1" x14ac:dyDescent="0.25">
      <c r="A22" s="448" t="s">
        <v>45</v>
      </c>
      <c r="B22" s="450" t="s">
        <v>46</v>
      </c>
      <c r="C22" s="450"/>
      <c r="D22" s="451"/>
    </row>
    <row r="23" spans="1:4" ht="16.5" customHeight="1" x14ac:dyDescent="0.2">
      <c r="A23" s="449"/>
      <c r="B23" s="452" t="s">
        <v>47</v>
      </c>
      <c r="C23" s="452"/>
      <c r="D23" s="453"/>
    </row>
    <row r="24" spans="1:4" ht="17.25" customHeight="1" x14ac:dyDescent="0.2">
      <c r="A24" s="448" t="s">
        <v>48</v>
      </c>
      <c r="B24" s="454" t="s">
        <v>49</v>
      </c>
      <c r="C24" s="303">
        <f>(1+(C11+C14))*(1+C13)*(1+C12)-1</f>
        <v>0.1389</v>
      </c>
      <c r="D24" s="455">
        <f>(1+C24)/C25-1</f>
        <v>0.2467</v>
      </c>
    </row>
    <row r="25" spans="1:4" ht="18" customHeight="1" x14ac:dyDescent="0.2">
      <c r="A25" s="448"/>
      <c r="B25" s="454"/>
      <c r="C25" s="304">
        <f>(1-(C17+C21))</f>
        <v>0.91349999999999998</v>
      </c>
      <c r="D25" s="455"/>
    </row>
    <row r="26" spans="1:4" x14ac:dyDescent="0.2">
      <c r="A26" s="145"/>
      <c r="B26" s="146"/>
      <c r="C26" s="147"/>
      <c r="D26" s="148"/>
    </row>
    <row r="27" spans="1:4" ht="32.25" customHeight="1" x14ac:dyDescent="0.2">
      <c r="A27" s="436" t="s">
        <v>71</v>
      </c>
      <c r="B27" s="437"/>
      <c r="C27" s="437"/>
      <c r="D27" s="438"/>
    </row>
    <row r="28" spans="1:4" ht="32.25" customHeight="1" x14ac:dyDescent="0.2">
      <c r="A28" s="439" t="s">
        <v>72</v>
      </c>
      <c r="B28" s="440"/>
      <c r="C28" s="440"/>
      <c r="D28" s="441"/>
    </row>
    <row r="29" spans="1:4" ht="15" customHeight="1" x14ac:dyDescent="0.2">
      <c r="A29" s="439" t="s">
        <v>73</v>
      </c>
      <c r="B29" s="440"/>
      <c r="C29" s="440"/>
      <c r="D29" s="441"/>
    </row>
    <row r="30" spans="1:4" ht="15" customHeight="1" x14ac:dyDescent="0.2">
      <c r="A30" s="439" t="s">
        <v>74</v>
      </c>
      <c r="B30" s="440"/>
      <c r="C30" s="440"/>
      <c r="D30" s="441"/>
    </row>
    <row r="31" spans="1:4" ht="15" customHeight="1" x14ac:dyDescent="0.2">
      <c r="A31" s="439" t="s">
        <v>75</v>
      </c>
      <c r="B31" s="440"/>
      <c r="C31" s="440"/>
      <c r="D31" s="441"/>
    </row>
    <row r="32" spans="1:4" ht="18" customHeight="1" x14ac:dyDescent="0.25">
      <c r="A32" s="442" t="s">
        <v>451</v>
      </c>
      <c r="B32" s="443"/>
      <c r="C32" s="443"/>
      <c r="D32" s="444"/>
    </row>
    <row r="33" spans="1:4" x14ac:dyDescent="0.2">
      <c r="A33" s="149"/>
      <c r="B33" s="123"/>
      <c r="C33" s="123"/>
      <c r="D33" s="150"/>
    </row>
    <row r="34" spans="1:4" ht="34.5" customHeight="1" x14ac:dyDescent="0.2">
      <c r="A34" s="151"/>
      <c r="B34" s="152"/>
      <c r="C34" s="27"/>
      <c r="D34" s="153"/>
    </row>
    <row r="35" spans="1:4" ht="13.5" x14ac:dyDescent="0.2">
      <c r="A35" s="434"/>
      <c r="B35" s="355"/>
      <c r="C35" s="27"/>
      <c r="D35" s="154" t="s">
        <v>436</v>
      </c>
    </row>
    <row r="36" spans="1:4" ht="13.5" x14ac:dyDescent="0.2">
      <c r="A36" s="435" t="s">
        <v>450</v>
      </c>
      <c r="B36" s="354"/>
      <c r="C36" s="27"/>
      <c r="D36" s="155" t="s">
        <v>89</v>
      </c>
    </row>
    <row r="37" spans="1:4" x14ac:dyDescent="0.2">
      <c r="A37" s="156"/>
      <c r="B37" s="157"/>
      <c r="C37" s="157"/>
      <c r="D37" s="158"/>
    </row>
  </sheetData>
  <mergeCells count="22">
    <mergeCell ref="A7:D7"/>
    <mergeCell ref="A4:D4"/>
    <mergeCell ref="A1:D1"/>
    <mergeCell ref="A2:D2"/>
    <mergeCell ref="A3:D3"/>
    <mergeCell ref="A5:D5"/>
    <mergeCell ref="A6:D6"/>
    <mergeCell ref="A8:D8"/>
    <mergeCell ref="A22:A23"/>
    <mergeCell ref="B22:D22"/>
    <mergeCell ref="B23:D23"/>
    <mergeCell ref="A24:A25"/>
    <mergeCell ref="B24:B25"/>
    <mergeCell ref="D24:D25"/>
    <mergeCell ref="A35:B35"/>
    <mergeCell ref="A36:B36"/>
    <mergeCell ref="A27:D27"/>
    <mergeCell ref="A28:D28"/>
    <mergeCell ref="A29:D29"/>
    <mergeCell ref="A30:D30"/>
    <mergeCell ref="A31:D31"/>
    <mergeCell ref="A32:D32"/>
  </mergeCells>
  <conditionalFormatting sqref="B28 D9 B25">
    <cfRule type="cellIs" dxfId="7" priority="4" stopIfTrue="1" operator="equal">
      <formula>0</formula>
    </cfRule>
  </conditionalFormatting>
  <conditionalFormatting sqref="B13:B14">
    <cfRule type="cellIs" dxfId="6" priority="2" stopIfTrue="1" operator="equal">
      <formula>0</formula>
    </cfRule>
    <cfRule type="cellIs" dxfId="5" priority="3" stopIfTrue="1" operator="equal">
      <formula>"FORA DO LIMITE !"</formula>
    </cfRule>
  </conditionalFormatting>
  <conditionalFormatting sqref="B24">
    <cfRule type="cellIs" dxfId="4" priority="1" stopIfTrue="1" operator="equal">
      <formula>"ERRO"</formula>
    </cfRule>
  </conditionalFormatting>
  <dataValidations disablePrompts="1" count="4">
    <dataValidation type="decimal" allowBlank="1" showInputMessage="1" showErrorMessage="1" sqref="D6:D7">
      <formula1>3.8</formula1>
      <formula2>4.67</formula2>
    </dataValidation>
    <dataValidation type="decimal" allowBlank="1" showInputMessage="1" showErrorMessage="1" sqref="I26">
      <formula1>0</formula1>
      <formula2>1</formula2>
    </dataValidation>
    <dataValidation type="decimal" allowBlank="1" showInputMessage="1" showErrorMessage="1" sqref="G27">
      <formula1>0</formula1>
      <formula2>0.05</formula2>
    </dataValidation>
    <dataValidation type="decimal" allowBlank="1" showInputMessage="1" showErrorMessage="1" sqref="D8">
      <formula1>6.64</formula1>
      <formula2>8.69</formula2>
    </dataValidation>
  </dataValidations>
  <printOptions horizontalCentered="1"/>
  <pageMargins left="0.78740157480314965" right="0.59055118110236227" top="0.70866141732283472" bottom="0.74803149606299213" header="0.51181102362204722" footer="0.51181102362204722"/>
  <pageSetup paperSize="9" fitToWidth="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view="pageBreakPreview" topLeftCell="A23" zoomScale="150" zoomScaleSheetLayoutView="150" workbookViewId="0">
      <selection activeCell="G16" sqref="G16"/>
    </sheetView>
  </sheetViews>
  <sheetFormatPr defaultRowHeight="12.75" x14ac:dyDescent="0.2"/>
  <cols>
    <col min="1" max="1" width="32.42578125" customWidth="1"/>
    <col min="2" max="2" width="15.42578125" customWidth="1"/>
    <col min="3" max="3" width="13.85546875" customWidth="1"/>
    <col min="4" max="4" width="17.28515625" customWidth="1"/>
  </cols>
  <sheetData>
    <row r="1" spans="1:4" ht="32.1" customHeight="1" x14ac:dyDescent="0.2">
      <c r="A1" s="480">
        <f>Planilha!A1:I1</f>
        <v>0</v>
      </c>
      <c r="B1" s="460"/>
      <c r="C1" s="460"/>
      <c r="D1" s="481"/>
    </row>
    <row r="2" spans="1:4" ht="3.75" customHeight="1" x14ac:dyDescent="0.2">
      <c r="A2" s="480"/>
      <c r="B2" s="460"/>
      <c r="C2" s="460"/>
      <c r="D2" s="481"/>
    </row>
    <row r="3" spans="1:4" ht="20.100000000000001" customHeight="1" x14ac:dyDescent="0.2">
      <c r="A3" s="482" t="s">
        <v>78</v>
      </c>
      <c r="B3" s="483"/>
      <c r="C3" s="483"/>
      <c r="D3" s="484"/>
    </row>
    <row r="4" spans="1:4" ht="18" customHeight="1" x14ac:dyDescent="0.2">
      <c r="A4" s="485" t="str">
        <f>Planilha!A5:F5</f>
        <v>OBRA: PROJETO DO ESPAÇO DE LAZER E ESTACIONAMENTO NO PARQUE DO AREÃO</v>
      </c>
      <c r="B4" s="485"/>
      <c r="C4" s="485"/>
      <c r="D4" s="485"/>
    </row>
    <row r="5" spans="1:4" ht="18" customHeight="1" x14ac:dyDescent="0.2">
      <c r="A5" s="485" t="str">
        <f>Planilha!A6:E6</f>
        <v>LOCAL: RUA ANTÔNIO LOUREIRO SOBRINHO, S/Nº - B. LUCÍLIA, JOÃO MONLEVADE</v>
      </c>
      <c r="B5" s="485"/>
      <c r="C5" s="485"/>
      <c r="D5" s="485"/>
    </row>
    <row r="6" spans="1:4" ht="3.75" customHeight="1" x14ac:dyDescent="0.2">
      <c r="A6" s="478"/>
      <c r="B6" s="457"/>
      <c r="C6" s="457"/>
      <c r="D6" s="479"/>
    </row>
    <row r="7" spans="1:4" ht="21" customHeight="1" x14ac:dyDescent="0.2">
      <c r="A7" s="473" t="s">
        <v>93</v>
      </c>
      <c r="B7" s="473"/>
      <c r="C7" s="473"/>
      <c r="D7" s="473"/>
    </row>
    <row r="8" spans="1:4" ht="45.75" customHeight="1" x14ac:dyDescent="0.2">
      <c r="A8" s="28" t="s">
        <v>25</v>
      </c>
      <c r="B8" s="29" t="s">
        <v>26</v>
      </c>
      <c r="C8" s="28" t="s">
        <v>27</v>
      </c>
      <c r="D8" s="28" t="s">
        <v>28</v>
      </c>
    </row>
    <row r="9" spans="1:4" ht="21.95" customHeight="1" x14ac:dyDescent="0.2">
      <c r="A9" s="30" t="s">
        <v>29</v>
      </c>
      <c r="B9" s="31" t="s">
        <v>30</v>
      </c>
      <c r="C9" s="32">
        <v>1</v>
      </c>
      <c r="D9" s="33"/>
    </row>
    <row r="10" spans="1:4" ht="21.95" customHeight="1" x14ac:dyDescent="0.2">
      <c r="A10" s="34" t="s">
        <v>31</v>
      </c>
      <c r="B10" s="31" t="s">
        <v>18</v>
      </c>
      <c r="C10" s="32">
        <v>3.4200000000000001E-2</v>
      </c>
      <c r="D10" s="33" t="s">
        <v>30</v>
      </c>
    </row>
    <row r="11" spans="1:4" ht="21.95" customHeight="1" x14ac:dyDescent="0.2">
      <c r="A11" s="34" t="s">
        <v>32</v>
      </c>
      <c r="B11" s="31" t="s">
        <v>21</v>
      </c>
      <c r="C11" s="32">
        <v>4.9399999999999999E-2</v>
      </c>
      <c r="D11" s="33" t="s">
        <v>30</v>
      </c>
    </row>
    <row r="12" spans="1:4" ht="21.95" customHeight="1" x14ac:dyDescent="0.2">
      <c r="A12" s="34" t="s">
        <v>33</v>
      </c>
      <c r="B12" s="31" t="s">
        <v>20</v>
      </c>
      <c r="C12" s="32">
        <v>7.4999999999999997E-3</v>
      </c>
      <c r="D12" s="33" t="s">
        <v>30</v>
      </c>
    </row>
    <row r="13" spans="1:4" ht="21.95" customHeight="1" x14ac:dyDescent="0.2">
      <c r="A13" s="34" t="s">
        <v>34</v>
      </c>
      <c r="B13" s="31" t="s">
        <v>35</v>
      </c>
      <c r="C13" s="32">
        <v>1.29E-2</v>
      </c>
      <c r="D13" s="33" t="s">
        <v>30</v>
      </c>
    </row>
    <row r="14" spans="1:4" ht="21.95" customHeight="1" x14ac:dyDescent="0.2">
      <c r="A14" s="35" t="s">
        <v>36</v>
      </c>
      <c r="B14" s="31" t="s">
        <v>37</v>
      </c>
      <c r="C14" s="36">
        <v>5.3E-3</v>
      </c>
      <c r="D14" s="37" t="s">
        <v>30</v>
      </c>
    </row>
    <row r="15" spans="1:4" ht="21.95" customHeight="1" x14ac:dyDescent="0.2">
      <c r="A15" s="35" t="s">
        <v>38</v>
      </c>
      <c r="B15" s="31" t="s">
        <v>19</v>
      </c>
      <c r="C15" s="36">
        <v>7.6E-3</v>
      </c>
      <c r="D15" s="37" t="s">
        <v>30</v>
      </c>
    </row>
    <row r="16" spans="1:4" ht="21.95" customHeight="1" x14ac:dyDescent="0.2">
      <c r="A16" s="34" t="s">
        <v>22</v>
      </c>
      <c r="B16" s="31" t="s">
        <v>39</v>
      </c>
      <c r="C16" s="36">
        <v>3.6499999999999998E-2</v>
      </c>
      <c r="D16" s="37" t="s">
        <v>40</v>
      </c>
    </row>
    <row r="17" spans="1:4" ht="21.95" customHeight="1" x14ac:dyDescent="0.2">
      <c r="A17" s="35" t="s">
        <v>23</v>
      </c>
      <c r="B17" s="31" t="s">
        <v>23</v>
      </c>
      <c r="C17" s="32">
        <v>0</v>
      </c>
      <c r="D17" s="37" t="s">
        <v>40</v>
      </c>
    </row>
    <row r="18" spans="1:4" ht="21.95" customHeight="1" x14ac:dyDescent="0.2">
      <c r="A18" s="35" t="s">
        <v>41</v>
      </c>
      <c r="B18" s="31" t="s">
        <v>41</v>
      </c>
      <c r="C18" s="36">
        <v>6.4999999999999997E-3</v>
      </c>
      <c r="D18" s="37" t="s">
        <v>40</v>
      </c>
    </row>
    <row r="19" spans="1:4" ht="21.95" customHeight="1" x14ac:dyDescent="0.2">
      <c r="A19" s="35" t="s">
        <v>42</v>
      </c>
      <c r="B19" s="31" t="s">
        <v>42</v>
      </c>
      <c r="C19" s="36">
        <v>0.03</v>
      </c>
      <c r="D19" s="37" t="s">
        <v>40</v>
      </c>
    </row>
    <row r="20" spans="1:4" ht="21.95" customHeight="1" x14ac:dyDescent="0.2">
      <c r="A20" s="34" t="s">
        <v>43</v>
      </c>
      <c r="B20" s="31" t="s">
        <v>44</v>
      </c>
      <c r="C20" s="38"/>
      <c r="D20" s="37" t="s">
        <v>40</v>
      </c>
    </row>
    <row r="21" spans="1:4" ht="18.75" customHeight="1" x14ac:dyDescent="0.25">
      <c r="A21" s="474" t="s">
        <v>45</v>
      </c>
      <c r="B21" s="450" t="s">
        <v>46</v>
      </c>
      <c r="C21" s="450"/>
      <c r="D21" s="450"/>
    </row>
    <row r="22" spans="1:4" ht="16.5" customHeight="1" x14ac:dyDescent="0.2">
      <c r="A22" s="475"/>
      <c r="B22" s="452" t="s">
        <v>47</v>
      </c>
      <c r="C22" s="452"/>
      <c r="D22" s="452"/>
    </row>
    <row r="23" spans="1:4" ht="17.25" customHeight="1" x14ac:dyDescent="0.2">
      <c r="A23" s="474" t="s">
        <v>48</v>
      </c>
      <c r="B23" s="476" t="s">
        <v>49</v>
      </c>
      <c r="C23" s="39">
        <f>(1+(C10+C13))*(1+C12)*(1+C11)-1</f>
        <v>0.1071</v>
      </c>
      <c r="D23" s="477">
        <f>(1+C23)/C24-1</f>
        <v>0.14899999999999999</v>
      </c>
    </row>
    <row r="24" spans="1:4" ht="18" customHeight="1" x14ac:dyDescent="0.2">
      <c r="A24" s="474"/>
      <c r="B24" s="476"/>
      <c r="C24" s="40">
        <f>(1-(C16+C20))</f>
        <v>0.96350000000000002</v>
      </c>
      <c r="D24" s="477"/>
    </row>
    <row r="25" spans="1:4" x14ac:dyDescent="0.2">
      <c r="A25" s="41"/>
      <c r="B25" s="41"/>
      <c r="C25" s="42"/>
      <c r="D25" s="43"/>
    </row>
    <row r="26" spans="1:4" ht="39" customHeight="1" x14ac:dyDescent="0.2">
      <c r="A26" s="440" t="s">
        <v>71</v>
      </c>
      <c r="B26" s="440"/>
      <c r="C26" s="440"/>
      <c r="D26" s="440"/>
    </row>
    <row r="27" spans="1:4" ht="12.75" customHeight="1" x14ac:dyDescent="0.2">
      <c r="A27" s="440" t="s">
        <v>72</v>
      </c>
      <c r="B27" s="440"/>
      <c r="C27" s="440"/>
      <c r="D27" s="440"/>
    </row>
    <row r="28" spans="1:4" ht="12.75" customHeight="1" x14ac:dyDescent="0.2">
      <c r="A28" s="440" t="s">
        <v>73</v>
      </c>
      <c r="B28" s="440"/>
      <c r="C28" s="440"/>
      <c r="D28" s="440"/>
    </row>
    <row r="29" spans="1:4" ht="12.75" customHeight="1" x14ac:dyDescent="0.2">
      <c r="A29" s="440" t="s">
        <v>74</v>
      </c>
      <c r="B29" s="440"/>
      <c r="C29" s="440"/>
      <c r="D29" s="440"/>
    </row>
    <row r="30" spans="1:4" ht="12.75" customHeight="1" x14ac:dyDescent="0.2">
      <c r="A30" s="440" t="s">
        <v>75</v>
      </c>
      <c r="B30" s="440"/>
      <c r="C30" s="440"/>
      <c r="D30" s="440"/>
    </row>
    <row r="31" spans="1:4" x14ac:dyDescent="0.2">
      <c r="A31" s="440" t="s">
        <v>92</v>
      </c>
      <c r="B31" s="440"/>
      <c r="C31" s="440"/>
      <c r="D31" s="440"/>
    </row>
    <row r="32" spans="1:4" x14ac:dyDescent="0.2">
      <c r="C32" s="27"/>
    </row>
    <row r="33" spans="1:4" ht="13.5" x14ac:dyDescent="0.2">
      <c r="A33" s="471"/>
      <c r="B33" s="471"/>
      <c r="C33" s="27"/>
      <c r="D33" s="87" t="s">
        <v>91</v>
      </c>
    </row>
    <row r="34" spans="1:4" ht="13.5" x14ac:dyDescent="0.2">
      <c r="A34" s="472" t="s">
        <v>90</v>
      </c>
      <c r="B34" s="472"/>
      <c r="C34" s="27"/>
      <c r="D34" s="88" t="s">
        <v>89</v>
      </c>
    </row>
  </sheetData>
  <mergeCells count="21">
    <mergeCell ref="A6:D6"/>
    <mergeCell ref="A1:D1"/>
    <mergeCell ref="A2:D2"/>
    <mergeCell ref="A3:D3"/>
    <mergeCell ref="A4:D4"/>
    <mergeCell ref="A5:D5"/>
    <mergeCell ref="A7:D7"/>
    <mergeCell ref="A21:A22"/>
    <mergeCell ref="B21:D21"/>
    <mergeCell ref="B22:D22"/>
    <mergeCell ref="A23:A24"/>
    <mergeCell ref="B23:B24"/>
    <mergeCell ref="D23:D24"/>
    <mergeCell ref="A33:B33"/>
    <mergeCell ref="A34:B34"/>
    <mergeCell ref="A26:D26"/>
    <mergeCell ref="A27:D27"/>
    <mergeCell ref="A28:D28"/>
    <mergeCell ref="A29:D29"/>
    <mergeCell ref="A30:D30"/>
    <mergeCell ref="A31:D31"/>
  </mergeCells>
  <conditionalFormatting sqref="B27 D8 B24">
    <cfRule type="cellIs" dxfId="3" priority="4" stopIfTrue="1" operator="equal">
      <formula>0</formula>
    </cfRule>
  </conditionalFormatting>
  <conditionalFormatting sqref="B12:B13">
    <cfRule type="cellIs" dxfId="2" priority="2" stopIfTrue="1" operator="equal">
      <formula>0</formula>
    </cfRule>
    <cfRule type="cellIs" dxfId="1" priority="3" stopIfTrue="1" operator="equal">
      <formula>"FORA DO LIMITE !"</formula>
    </cfRule>
  </conditionalFormatting>
  <conditionalFormatting sqref="B23">
    <cfRule type="cellIs" dxfId="0" priority="1" stopIfTrue="1" operator="equal">
      <formula>"ERRO"</formula>
    </cfRule>
  </conditionalFormatting>
  <dataValidations count="4">
    <dataValidation type="decimal" allowBlank="1" showInputMessage="1" showErrorMessage="1" sqref="D5:D6">
      <formula1>3.8</formula1>
      <formula2>4.67</formula2>
    </dataValidation>
    <dataValidation type="decimal" allowBlank="1" showInputMessage="1" showErrorMessage="1" sqref="I25">
      <formula1>0</formula1>
      <formula2>1</formula2>
    </dataValidation>
    <dataValidation type="decimal" allowBlank="1" showInputMessage="1" showErrorMessage="1" sqref="G26">
      <formula1>0</formula1>
      <formula2>0.05</formula2>
    </dataValidation>
    <dataValidation type="decimal" allowBlank="1" showInputMessage="1" showErrorMessage="1" sqref="D7">
      <formula1>6.64</formula1>
      <formula2>8.69</formula2>
    </dataValidation>
  </dataValidations>
  <printOptions horizontalCentered="1"/>
  <pageMargins left="0.78740157480314965" right="0.59055118110236227" top="0.98425196850393704" bottom="0.98425196850393704" header="0.51181102362204722" footer="0.51181102362204722"/>
  <pageSetup paperSize="9" scale="9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8:K73"/>
  <sheetViews>
    <sheetView zoomScale="90" zoomScaleNormal="90" workbookViewId="0">
      <selection activeCell="L61" sqref="L61"/>
    </sheetView>
  </sheetViews>
  <sheetFormatPr defaultRowHeight="12.75" x14ac:dyDescent="0.2"/>
  <cols>
    <col min="9" max="9" width="9.28515625" bestFit="1" customWidth="1"/>
  </cols>
  <sheetData>
    <row r="58" spans="1:11" x14ac:dyDescent="0.2">
      <c r="K58">
        <v>10</v>
      </c>
    </row>
    <row r="59" spans="1:11" x14ac:dyDescent="0.2">
      <c r="A59" s="82">
        <f>3+8.25+7.58+22.45</f>
        <v>41.28</v>
      </c>
      <c r="B59" s="82">
        <f>16.77+42.48+12.75+21</f>
        <v>93</v>
      </c>
      <c r="C59" s="82"/>
      <c r="D59" s="82">
        <v>6.87</v>
      </c>
      <c r="E59" s="82"/>
      <c r="F59" s="82">
        <f>12.64+10.05+12.81</f>
        <v>35.5</v>
      </c>
      <c r="G59" s="82"/>
      <c r="H59" s="82"/>
      <c r="I59" s="82"/>
      <c r="J59" s="82"/>
      <c r="K59" s="82"/>
    </row>
    <row r="60" spans="1:11" x14ac:dyDescent="0.2">
      <c r="A60" s="82"/>
      <c r="B60" s="82">
        <f>3.67+24.67+20.27+22.05</f>
        <v>70.66</v>
      </c>
      <c r="C60" s="82">
        <f>33.68+43.11</f>
        <v>76.790000000000006</v>
      </c>
      <c r="D60" s="82">
        <v>11.13</v>
      </c>
      <c r="E60" s="82"/>
      <c r="F60" s="82">
        <f>20.87+21.39+19.36+18.98+19.36+15.04</f>
        <v>115</v>
      </c>
      <c r="G60" s="82"/>
      <c r="H60" s="82"/>
      <c r="I60" s="82"/>
      <c r="J60" s="82"/>
      <c r="K60" s="82">
        <v>2</v>
      </c>
    </row>
    <row r="61" spans="1:11" x14ac:dyDescent="0.2">
      <c r="A61" s="82"/>
      <c r="B61" s="82">
        <f>12.61+2.3</f>
        <v>14.91</v>
      </c>
      <c r="C61" s="82">
        <f>21.78+25.5+28.34+13.28+14.9</f>
        <v>103.8</v>
      </c>
      <c r="D61" s="82">
        <v>5.37</v>
      </c>
      <c r="E61" s="82"/>
      <c r="F61" s="82">
        <f>30.16+23.72+31.36+30.26</f>
        <v>115.5</v>
      </c>
      <c r="G61" s="82"/>
      <c r="H61" s="82"/>
      <c r="I61" s="82">
        <f>8728+2192</f>
        <v>10920</v>
      </c>
      <c r="J61" s="82"/>
      <c r="K61" s="82">
        <v>2</v>
      </c>
    </row>
    <row r="62" spans="1:11" x14ac:dyDescent="0.2">
      <c r="A62" s="82"/>
      <c r="B62" s="82">
        <f>31.43</f>
        <v>31.43</v>
      </c>
      <c r="C62" s="82">
        <f>34.05+14.86+61.84+32.38</f>
        <v>143.13</v>
      </c>
      <c r="D62" s="82">
        <v>8.48</v>
      </c>
      <c r="E62" s="82"/>
      <c r="G62" s="82"/>
      <c r="H62" s="82"/>
      <c r="I62" s="82">
        <v>890</v>
      </c>
      <c r="J62" s="82"/>
      <c r="K62" s="82">
        <v>2</v>
      </c>
    </row>
    <row r="63" spans="1:11" x14ac:dyDescent="0.2">
      <c r="A63" s="82"/>
      <c r="B63" s="82">
        <f>32.99+0.65</f>
        <v>33.64</v>
      </c>
      <c r="C63" s="82">
        <f>34.25+42.74+29.69+15.75</f>
        <v>122.43</v>
      </c>
      <c r="D63" s="82">
        <v>8.6300000000000008</v>
      </c>
      <c r="E63" s="82"/>
      <c r="F63" s="82"/>
      <c r="G63" s="82"/>
      <c r="H63" s="82"/>
      <c r="I63" s="82">
        <v>740</v>
      </c>
      <c r="J63" s="82"/>
      <c r="K63" s="82">
        <v>1</v>
      </c>
    </row>
    <row r="64" spans="1:11" x14ac:dyDescent="0.2">
      <c r="A64" s="82"/>
      <c r="B64" s="82">
        <v>32</v>
      </c>
      <c r="C64" s="82">
        <f>22.02+31.96+34.15</f>
        <v>88.13</v>
      </c>
      <c r="D64" s="82">
        <v>23.36</v>
      </c>
      <c r="E64" s="82"/>
      <c r="F64" s="82">
        <f>28.86+34.44+47.07+31.3+28.96+36.1+30.22+29.05</f>
        <v>266</v>
      </c>
      <c r="G64" s="82"/>
      <c r="H64" s="82"/>
      <c r="I64" s="82">
        <v>590</v>
      </c>
      <c r="J64" s="82"/>
      <c r="K64" s="82">
        <v>4</v>
      </c>
    </row>
    <row r="65" spans="1:11" x14ac:dyDescent="0.2">
      <c r="A65" s="82"/>
      <c r="B65" s="82">
        <f>26.73+16.7+47.6+12.58</f>
        <v>103.61</v>
      </c>
      <c r="C65" s="82">
        <f>37.22+27.82</f>
        <v>65.040000000000006</v>
      </c>
      <c r="D65" s="82"/>
      <c r="E65" s="82"/>
      <c r="F65" s="82">
        <f>21.03+29.91+26.69+9.39</f>
        <v>87.02</v>
      </c>
      <c r="G65" s="82"/>
      <c r="H65" s="82"/>
      <c r="I65" s="82"/>
      <c r="J65" s="82"/>
      <c r="K65" s="82">
        <v>35</v>
      </c>
    </row>
    <row r="66" spans="1:11" x14ac:dyDescent="0.2">
      <c r="A66" s="82"/>
      <c r="B66" s="82"/>
      <c r="C66" s="82"/>
      <c r="D66" s="82">
        <v>25.7</v>
      </c>
      <c r="E66" s="82">
        <v>6.4</v>
      </c>
      <c r="F66" s="82">
        <f>20.95+19.01+12.59</f>
        <v>52.55</v>
      </c>
      <c r="G66" s="82"/>
      <c r="H66" s="82"/>
      <c r="I66" s="82"/>
      <c r="J66" s="82"/>
      <c r="K66" s="82">
        <v>15</v>
      </c>
    </row>
    <row r="67" spans="1:11" x14ac:dyDescent="0.2">
      <c r="A67" s="82"/>
      <c r="B67" s="82">
        <f>59.75+25.71</f>
        <v>85.46</v>
      </c>
      <c r="C67" s="82"/>
      <c r="D67" s="82">
        <v>22.08</v>
      </c>
      <c r="E67" s="82"/>
      <c r="F67" s="82"/>
      <c r="G67" s="82"/>
      <c r="H67" s="82"/>
      <c r="I67" s="82"/>
      <c r="J67" s="82"/>
      <c r="K67" s="82">
        <v>21</v>
      </c>
    </row>
    <row r="68" spans="1:11" x14ac:dyDescent="0.2">
      <c r="A68" s="82"/>
      <c r="B68" s="82"/>
      <c r="C68" s="82"/>
      <c r="D68" s="82"/>
      <c r="E68" s="82"/>
      <c r="F68" s="82"/>
      <c r="G68" s="82"/>
      <c r="H68" s="82"/>
      <c r="I68" s="82"/>
      <c r="J68" s="82"/>
      <c r="K68" s="82"/>
    </row>
    <row r="69" spans="1:11" x14ac:dyDescent="0.2">
      <c r="A69" s="82"/>
      <c r="B69" s="82"/>
      <c r="C69" s="82"/>
      <c r="D69" s="82"/>
      <c r="E69" s="82"/>
      <c r="F69" s="82"/>
      <c r="G69" s="82"/>
      <c r="H69" s="82"/>
      <c r="I69" s="82"/>
      <c r="J69" s="82"/>
      <c r="K69" s="82"/>
    </row>
    <row r="70" spans="1:11" x14ac:dyDescent="0.2">
      <c r="A70" s="82"/>
      <c r="B70" s="82"/>
      <c r="C70" s="82"/>
      <c r="D70" s="82"/>
      <c r="E70" s="82"/>
      <c r="F70" s="82"/>
      <c r="G70" s="82"/>
      <c r="H70" s="82"/>
      <c r="I70" s="82"/>
      <c r="J70" s="82"/>
      <c r="K70" s="82">
        <f>SUM(K58:K69)</f>
        <v>92</v>
      </c>
    </row>
    <row r="71" spans="1:11" x14ac:dyDescent="0.2">
      <c r="A71" s="82"/>
      <c r="B71" s="82"/>
      <c r="C71" s="82"/>
      <c r="D71" s="82"/>
      <c r="E71" s="82"/>
      <c r="F71" s="82"/>
      <c r="G71" s="82"/>
      <c r="H71" s="82"/>
      <c r="I71" s="82"/>
      <c r="J71" s="82"/>
      <c r="K71" s="82"/>
    </row>
    <row r="72" spans="1:11" x14ac:dyDescent="0.2">
      <c r="A72" s="82"/>
      <c r="B72" s="82"/>
      <c r="C72" s="82"/>
      <c r="D72" s="82"/>
      <c r="E72" s="82"/>
      <c r="F72" s="82"/>
      <c r="G72" s="82"/>
      <c r="H72" s="82"/>
      <c r="I72" s="82"/>
      <c r="J72" s="82"/>
      <c r="K72" s="82"/>
    </row>
    <row r="73" spans="1:11" x14ac:dyDescent="0.2">
      <c r="A73" s="82"/>
      <c r="B73" s="82"/>
      <c r="C73" s="82"/>
      <c r="D73" s="82"/>
      <c r="E73" s="82"/>
      <c r="F73" s="82"/>
      <c r="G73" s="82"/>
      <c r="H73" s="82"/>
      <c r="I73" s="82"/>
      <c r="J73" s="82"/>
      <c r="K73" s="82"/>
    </row>
  </sheetData>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9</vt:i4>
      </vt:variant>
    </vt:vector>
  </HeadingPairs>
  <TitlesOfParts>
    <vt:vector size="17" baseType="lpstr">
      <vt:lpstr>Planilha</vt:lpstr>
      <vt:lpstr>Memória de cálculo</vt:lpstr>
      <vt:lpstr>Composição de custos</vt:lpstr>
      <vt:lpstr>Cotação</vt:lpstr>
      <vt:lpstr>Cronograma</vt:lpstr>
      <vt:lpstr>BDI (Serviço)</vt:lpstr>
      <vt:lpstr>BDI (Material)</vt:lpstr>
      <vt:lpstr>Plan1</vt:lpstr>
      <vt:lpstr>'BDI (Material)'!Area_de_impressao</vt:lpstr>
      <vt:lpstr>'BDI (Serviço)'!Area_de_impressao</vt:lpstr>
      <vt:lpstr>'Composição de custos'!Area_de_impressao</vt:lpstr>
      <vt:lpstr>Cotação!Area_de_impressao</vt:lpstr>
      <vt:lpstr>Cronograma!Area_de_impressao</vt:lpstr>
      <vt:lpstr>'Memória de cálculo'!Area_de_impressao</vt:lpstr>
      <vt:lpstr>Planilha!Area_de_impressao</vt:lpstr>
      <vt:lpstr>'Memória de cálculo'!Titulos_de_impressao</vt:lpstr>
      <vt:lpstr>Planilha!Titulos_de_impressao</vt:lpstr>
    </vt:vector>
  </TitlesOfParts>
  <Company>Setop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Setop</dc:creator>
  <cp:lastModifiedBy>PMJM</cp:lastModifiedBy>
  <cp:lastPrinted>2025-09-23T17:53:59Z</cp:lastPrinted>
  <dcterms:created xsi:type="dcterms:W3CDTF">2006-09-22T13:55:22Z</dcterms:created>
  <dcterms:modified xsi:type="dcterms:W3CDTF">2025-10-06T16:36:28Z</dcterms:modified>
</cp:coreProperties>
</file>